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o-01360405\Post\2023\ПФХД\Октябрьский\школы\73\"/>
    </mc:Choice>
  </mc:AlternateContent>
  <bookViews>
    <workbookView xWindow="2295" yWindow="60" windowWidth="20400" windowHeight="12660" tabRatio="882"/>
  </bookViews>
  <sheets>
    <sheet name="раздел 1_2" sheetId="1" r:id="rId1"/>
    <sheet name="раздел 2" sheetId="2" state="hidden" r:id="rId2"/>
    <sheet name="раздел 3 доходы" sheetId="3" state="hidden" r:id="rId3"/>
    <sheet name="(211-213)_бюд" sheetId="4" state="hidden" r:id="rId4"/>
    <sheet name="(211-213)_пед" sheetId="5" state="hidden" r:id="rId5"/>
    <sheet name="(211-213)_ауп" sheetId="6" state="hidden" r:id="rId6"/>
    <sheet name="сводная" sheetId="24" state="hidden" r:id="rId7"/>
    <sheet name="командировки_пед" sheetId="7" state="hidden" r:id="rId8"/>
    <sheet name="командировки_ауп" sheetId="8" state="hidden" r:id="rId9"/>
    <sheet name="262" sheetId="18" state="hidden" r:id="rId10"/>
    <sheet name="221" sheetId="11" state="hidden" r:id="rId11"/>
    <sheet name="222" sheetId="12" state="hidden" r:id="rId12"/>
    <sheet name="223" sheetId="13" state="hidden" r:id="rId13"/>
    <sheet name="224" sheetId="23" state="hidden" r:id="rId14"/>
    <sheet name="225 подробно" sheetId="22" state="hidden" r:id="rId15"/>
    <sheet name="226 подробно" sheetId="21" state="hidden" r:id="rId16"/>
    <sheet name="226 повышение квалификации" sheetId="20" state="hidden" r:id="rId17"/>
    <sheet name="227" sheetId="16" state="hidden" r:id="rId18"/>
    <sheet name="пособие по уходу за ребенком" sheetId="19" state="hidden" r:id="rId19"/>
    <sheet name="290" sheetId="17" state="hidden" r:id="rId20"/>
  </sheets>
  <definedNames>
    <definedName name="TABLE" localSheetId="5">'(211-213)_ауп'!#REF!</definedName>
    <definedName name="TABLE" localSheetId="3">'(211-213)_бюд'!#REF!</definedName>
    <definedName name="TABLE" localSheetId="4">'(211-213)_пед'!#REF!</definedName>
    <definedName name="TABLE" localSheetId="10">'221'!#REF!</definedName>
    <definedName name="TABLE" localSheetId="11">'222'!#REF!</definedName>
    <definedName name="TABLE" localSheetId="12">'223'!#REF!</definedName>
    <definedName name="TABLE" localSheetId="8">командировки_ауп!#REF!</definedName>
    <definedName name="TABLE" localSheetId="7">командировки_пед!#REF!</definedName>
    <definedName name="TABLE" localSheetId="0">'раздел 1_2'!#REF!</definedName>
    <definedName name="TABLE" localSheetId="1">'раздел 2'!#REF!</definedName>
    <definedName name="TABLE" localSheetId="2">'раздел 3 доходы'!#REF!</definedName>
    <definedName name="TABLE" localSheetId="6">сводная!#REF!</definedName>
    <definedName name="TABLE_2" localSheetId="5">'(211-213)_ауп'!#REF!</definedName>
    <definedName name="TABLE_2" localSheetId="3">'(211-213)_бюд'!#REF!</definedName>
    <definedName name="TABLE_2" localSheetId="4">'(211-213)_пед'!#REF!</definedName>
    <definedName name="TABLE_2" localSheetId="10">'221'!#REF!</definedName>
    <definedName name="TABLE_2" localSheetId="11">'222'!#REF!</definedName>
    <definedName name="TABLE_2" localSheetId="12">'223'!#REF!</definedName>
    <definedName name="TABLE_2" localSheetId="8">командировки_ауп!#REF!</definedName>
    <definedName name="TABLE_2" localSheetId="7">командировки_пед!#REF!</definedName>
    <definedName name="TABLE_2" localSheetId="0">'раздел 1_2'!#REF!</definedName>
    <definedName name="TABLE_2" localSheetId="1">'раздел 2'!#REF!</definedName>
    <definedName name="TABLE_2" localSheetId="2">'раздел 3 доходы'!#REF!</definedName>
    <definedName name="TABLE_2" localSheetId="6">сводная!#REF!</definedName>
    <definedName name="Z_6AD2622C_AF85_4997_AA93_A54C85AD6D68_.wvu.PrintArea" localSheetId="5" hidden="1">'(211-213)_ауп'!$A$1:$L$89</definedName>
    <definedName name="Z_6AD2622C_AF85_4997_AA93_A54C85AD6D68_.wvu.PrintArea" localSheetId="3" hidden="1">'(211-213)_бюд'!$A$1:$M$89</definedName>
    <definedName name="Z_6AD2622C_AF85_4997_AA93_A54C85AD6D68_.wvu.PrintArea" localSheetId="4" hidden="1">'(211-213)_пед'!$A$1:$L$89</definedName>
    <definedName name="Z_6AD2622C_AF85_4997_AA93_A54C85AD6D68_.wvu.PrintArea" localSheetId="10" hidden="1">'221'!$A$1:$N$11</definedName>
    <definedName name="Z_6AD2622C_AF85_4997_AA93_A54C85AD6D68_.wvu.PrintArea" localSheetId="11" hidden="1">'222'!$A$1:$K$12</definedName>
    <definedName name="Z_6AD2622C_AF85_4997_AA93_A54C85AD6D68_.wvu.PrintArea" localSheetId="12" hidden="1">'223'!$A$1:$K$9</definedName>
    <definedName name="Z_6AD2622C_AF85_4997_AA93_A54C85AD6D68_.wvu.PrintArea" localSheetId="14" hidden="1">'225 подробно'!$A$1:$K$52</definedName>
    <definedName name="Z_6AD2622C_AF85_4997_AA93_A54C85AD6D68_.wvu.PrintArea" localSheetId="15" hidden="1">'226 подробно'!$A$1:$H$22</definedName>
    <definedName name="Z_6AD2622C_AF85_4997_AA93_A54C85AD6D68_.wvu.PrintArea" localSheetId="17" hidden="1">'227'!$A$1:$K$8</definedName>
    <definedName name="Z_6AD2622C_AF85_4997_AA93_A54C85AD6D68_.wvu.PrintArea" localSheetId="19" hidden="1">'290'!$A$1:$K$11</definedName>
    <definedName name="Z_6AD2622C_AF85_4997_AA93_A54C85AD6D68_.wvu.PrintArea" localSheetId="8" hidden="1">командировки_ауп!$A$1:$N$11</definedName>
    <definedName name="Z_6AD2622C_AF85_4997_AA93_A54C85AD6D68_.wvu.PrintArea" localSheetId="7" hidden="1">командировки_пед!$A$1:$N$11</definedName>
    <definedName name="Z_6AD2622C_AF85_4997_AA93_A54C85AD6D68_.wvu.PrintArea" localSheetId="0" hidden="1">'раздел 1_2'!$B$1:$Q$104</definedName>
    <definedName name="Z_6AD2622C_AF85_4997_AA93_A54C85AD6D68_.wvu.PrintArea" localSheetId="1" hidden="1">'раздел 2'!$A$1:$Z$46</definedName>
    <definedName name="Z_6AD2622C_AF85_4997_AA93_A54C85AD6D68_.wvu.PrintArea" localSheetId="2" hidden="1">'раздел 3 доходы'!$A$1:$K$141</definedName>
    <definedName name="Z_6AD2622C_AF85_4997_AA93_A54C85AD6D68_.wvu.PrintArea" localSheetId="6" hidden="1">сводная!$A$1:$E$26</definedName>
    <definedName name="Z_6AD2622C_AF85_4997_AA93_A54C85AD6D68_.wvu.PrintTitles" localSheetId="0" hidden="1">'раздел 1_2'!$24:$24</definedName>
    <definedName name="Z_6AD2622C_AF85_4997_AA93_A54C85AD6D68_.wvu.PrintTitles" localSheetId="1" hidden="1">'раздел 2'!$6:$6</definedName>
    <definedName name="Z_6AD2622C_AF85_4997_AA93_A54C85AD6D68_.wvu.PrintTitles" localSheetId="2" hidden="1">'раздел 3 доходы'!$6:$6</definedName>
    <definedName name="Z_84CC8968_6D7C_41C4_B973_ECD381BB63FC_.wvu.PrintArea" localSheetId="5" hidden="1">'(211-213)_ауп'!$A$1:$L$105</definedName>
    <definedName name="Z_84CC8968_6D7C_41C4_B973_ECD381BB63FC_.wvu.PrintArea" localSheetId="3" hidden="1">'(211-213)_бюд'!$A$1:$M$102</definedName>
    <definedName name="Z_84CC8968_6D7C_41C4_B973_ECD381BB63FC_.wvu.PrintArea" localSheetId="4" hidden="1">'(211-213)_пед'!$A$1:$L$103</definedName>
    <definedName name="Z_84CC8968_6D7C_41C4_B973_ECD381BB63FC_.wvu.PrintArea" localSheetId="10" hidden="1">'221'!$A$1:$N$11</definedName>
    <definedName name="Z_84CC8968_6D7C_41C4_B973_ECD381BB63FC_.wvu.PrintArea" localSheetId="11" hidden="1">'222'!$A$1:$K$12</definedName>
    <definedName name="Z_84CC8968_6D7C_41C4_B973_ECD381BB63FC_.wvu.PrintArea" localSheetId="12" hidden="1">'223'!$A$1:$K$16</definedName>
    <definedName name="Z_84CC8968_6D7C_41C4_B973_ECD381BB63FC_.wvu.PrintArea" localSheetId="14" hidden="1">'225 подробно'!$A$1:$K$52</definedName>
    <definedName name="Z_84CC8968_6D7C_41C4_B973_ECD381BB63FC_.wvu.PrintArea" localSheetId="15" hidden="1">'226 подробно'!$A$1:$H$22</definedName>
    <definedName name="Z_84CC8968_6D7C_41C4_B973_ECD381BB63FC_.wvu.PrintArea" localSheetId="17" hidden="1">'227'!$A$1:$K$8</definedName>
    <definedName name="Z_84CC8968_6D7C_41C4_B973_ECD381BB63FC_.wvu.PrintArea" localSheetId="9" hidden="1">'262'!$A$1:$K$7</definedName>
    <definedName name="Z_84CC8968_6D7C_41C4_B973_ECD381BB63FC_.wvu.PrintArea" localSheetId="19" hidden="1">'290'!$A$1:$K$11</definedName>
    <definedName name="Z_84CC8968_6D7C_41C4_B973_ECD381BB63FC_.wvu.PrintArea" localSheetId="8" hidden="1">командировки_ауп!$A$1:$N$11</definedName>
    <definedName name="Z_84CC8968_6D7C_41C4_B973_ECD381BB63FC_.wvu.PrintArea" localSheetId="7" hidden="1">командировки_пед!$A$1:$N$11</definedName>
    <definedName name="Z_84CC8968_6D7C_41C4_B973_ECD381BB63FC_.wvu.PrintArea" localSheetId="0" hidden="1">'раздел 1_2'!$A$1:$Q$143</definedName>
    <definedName name="Z_84CC8968_6D7C_41C4_B973_ECD381BB63FC_.wvu.PrintArea" localSheetId="1" hidden="1">'раздел 2'!$A$1:$AA$68</definedName>
    <definedName name="Z_84CC8968_6D7C_41C4_B973_ECD381BB63FC_.wvu.PrintArea" localSheetId="2" hidden="1">'раздел 3 доходы'!$A$1:$K$141</definedName>
    <definedName name="Z_84CC8968_6D7C_41C4_B973_ECD381BB63FC_.wvu.PrintArea" localSheetId="6" hidden="1">сводная!$A$1:$E$26</definedName>
    <definedName name="Z_84CC8968_6D7C_41C4_B973_ECD381BB63FC_.wvu.PrintTitles" localSheetId="0" hidden="1">'раздел 1_2'!$24:$24</definedName>
    <definedName name="Z_84CC8968_6D7C_41C4_B973_ECD381BB63FC_.wvu.PrintTitles" localSheetId="1" hidden="1">'раздел 2'!$6:$6</definedName>
    <definedName name="Z_84CC8968_6D7C_41C4_B973_ECD381BB63FC_.wvu.PrintTitles" localSheetId="2" hidden="1">'раздел 3 доходы'!$6:$6</definedName>
    <definedName name="Z_84CC8968_6D7C_41C4_B973_ECD381BB63FC_.wvu.Rows" localSheetId="14" hidden="1">'225 подробно'!$21:$52</definedName>
    <definedName name="Z_BE564483_1D34_4213_AFAA_88329D9103DE_.wvu.Cols" localSheetId="10" hidden="1">'221'!$Y:$Y</definedName>
    <definedName name="Z_BE564483_1D34_4213_AFAA_88329D9103DE_.wvu.PrintArea" localSheetId="5" hidden="1">'(211-213)_ауп'!$A$1:$AH$89</definedName>
    <definedName name="Z_BE564483_1D34_4213_AFAA_88329D9103DE_.wvu.PrintArea" localSheetId="3" hidden="1">'(211-213)_бюд'!$A$1:$M$89</definedName>
    <definedName name="Z_BE564483_1D34_4213_AFAA_88329D9103DE_.wvu.PrintArea" localSheetId="4" hidden="1">'(211-213)_пед'!$A$1:$AG$89</definedName>
    <definedName name="Z_BE564483_1D34_4213_AFAA_88329D9103DE_.wvu.PrintArea" localSheetId="10" hidden="1">'221'!$A$1:$AF$11</definedName>
    <definedName name="Z_BE564483_1D34_4213_AFAA_88329D9103DE_.wvu.PrintArea" localSheetId="11" hidden="1">'222'!$A$1:$K$12</definedName>
    <definedName name="Z_BE564483_1D34_4213_AFAA_88329D9103DE_.wvu.PrintArea" localSheetId="12" hidden="1">'223'!$A$1:$K$9</definedName>
    <definedName name="Z_BE564483_1D34_4213_AFAA_88329D9103DE_.wvu.PrintArea" localSheetId="8" hidden="1">командировки_ауп!$A$1:$N$11</definedName>
    <definedName name="Z_BE564483_1D34_4213_AFAA_88329D9103DE_.wvu.PrintArea" localSheetId="7" hidden="1">командировки_пед!$A$1:$N$11</definedName>
    <definedName name="Z_BE564483_1D34_4213_AFAA_88329D9103DE_.wvu.PrintArea" localSheetId="0" hidden="1">'раздел 1_2'!$B$1:$Q$104</definedName>
    <definedName name="Z_BE564483_1D34_4213_AFAA_88329D9103DE_.wvu.PrintArea" localSheetId="1" hidden="1">'раздел 2'!$A$1:$Z$46</definedName>
    <definedName name="Z_BE564483_1D34_4213_AFAA_88329D9103DE_.wvu.PrintArea" localSheetId="2" hidden="1">'раздел 3 доходы'!$A$1:$Y$48</definedName>
    <definedName name="Z_BE564483_1D34_4213_AFAA_88329D9103DE_.wvu.PrintArea" localSheetId="6" hidden="1">сводная!$A$1:$E$26</definedName>
    <definedName name="Z_BE564483_1D34_4213_AFAA_88329D9103DE_.wvu.PrintTitles" localSheetId="0" hidden="1">'раздел 1_2'!$24:$24</definedName>
    <definedName name="Z_BE564483_1D34_4213_AFAA_88329D9103DE_.wvu.PrintTitles" localSheetId="1" hidden="1">'раздел 2'!$6:$6</definedName>
    <definedName name="Z_BE564483_1D34_4213_AFAA_88329D9103DE_.wvu.PrintTitles" localSheetId="2" hidden="1">'раздел 3 доходы'!$6:$6</definedName>
    <definedName name="Z_BE564483_1D34_4213_AFAA_88329D9103DE_.wvu.Rows" localSheetId="0" hidden="1">'раздел 1_2'!#REF!</definedName>
    <definedName name="Z_C47F8591_E97A_4739_B299_8B7B5E22A2DD_.wvu.PrintArea" localSheetId="5" hidden="1">'(211-213)_ауп'!$A$1:$L$105</definedName>
    <definedName name="Z_C47F8591_E97A_4739_B299_8B7B5E22A2DD_.wvu.PrintArea" localSheetId="3" hidden="1">'(211-213)_бюд'!$A$1:$M$102</definedName>
    <definedName name="Z_C47F8591_E97A_4739_B299_8B7B5E22A2DD_.wvu.PrintArea" localSheetId="4" hidden="1">'(211-213)_пед'!$A$1:$L$103</definedName>
    <definedName name="Z_C47F8591_E97A_4739_B299_8B7B5E22A2DD_.wvu.PrintArea" localSheetId="10" hidden="1">'221'!$A$1:$N$10</definedName>
    <definedName name="Z_C47F8591_E97A_4739_B299_8B7B5E22A2DD_.wvu.PrintArea" localSheetId="11" hidden="1">'222'!$A$1:$K$11</definedName>
    <definedName name="Z_C47F8591_E97A_4739_B299_8B7B5E22A2DD_.wvu.PrintArea" localSheetId="12" hidden="1">'223'!$A$1:$K$16</definedName>
    <definedName name="Z_C47F8591_E97A_4739_B299_8B7B5E22A2DD_.wvu.PrintArea" localSheetId="14" hidden="1">'225 подробно'!$A$1:$K$52</definedName>
    <definedName name="Z_C47F8591_E97A_4739_B299_8B7B5E22A2DD_.wvu.PrintArea" localSheetId="15" hidden="1">'226 подробно'!$A$1:$H$22</definedName>
    <definedName name="Z_C47F8591_E97A_4739_B299_8B7B5E22A2DD_.wvu.PrintArea" localSheetId="17" hidden="1">'227'!$A$1:$K$8</definedName>
    <definedName name="Z_C47F8591_E97A_4739_B299_8B7B5E22A2DD_.wvu.PrintArea" localSheetId="9" hidden="1">'262'!$A$1:$K$7</definedName>
    <definedName name="Z_C47F8591_E97A_4739_B299_8B7B5E22A2DD_.wvu.PrintArea" localSheetId="19" hidden="1">'290'!$A$1:$K$11</definedName>
    <definedName name="Z_C47F8591_E97A_4739_B299_8B7B5E22A2DD_.wvu.PrintArea" localSheetId="8" hidden="1">командировки_ауп!$A$1:$N$10</definedName>
    <definedName name="Z_C47F8591_E97A_4739_B299_8B7B5E22A2DD_.wvu.PrintArea" localSheetId="7" hidden="1">командировки_пед!$A$1:$N$10</definedName>
    <definedName name="Z_C47F8591_E97A_4739_B299_8B7B5E22A2DD_.wvu.PrintArea" localSheetId="0" hidden="1">'раздел 1_2'!$A$1:$Q$143</definedName>
    <definedName name="Z_C47F8591_E97A_4739_B299_8B7B5E22A2DD_.wvu.PrintArea" localSheetId="1" hidden="1">'раздел 2'!$A$1:$AA$68</definedName>
    <definedName name="Z_C47F8591_E97A_4739_B299_8B7B5E22A2DD_.wvu.PrintArea" localSheetId="2" hidden="1">'раздел 3 доходы'!$A$1:$K$141</definedName>
    <definedName name="Z_C47F8591_E97A_4739_B299_8B7B5E22A2DD_.wvu.PrintArea" localSheetId="6" hidden="1">сводная!$A$1:$E$26</definedName>
    <definedName name="Z_C47F8591_E97A_4739_B299_8B7B5E22A2DD_.wvu.PrintTitles" localSheetId="0" hidden="1">'раздел 1_2'!$24:$24</definedName>
    <definedName name="Z_C47F8591_E97A_4739_B299_8B7B5E22A2DD_.wvu.PrintTitles" localSheetId="1" hidden="1">'раздел 2'!$6:$6</definedName>
    <definedName name="Z_C47F8591_E97A_4739_B299_8B7B5E22A2DD_.wvu.PrintTitles" localSheetId="2" hidden="1">'раздел 3 доходы'!$6:$6</definedName>
    <definedName name="Z_C47F8591_E97A_4739_B299_8B7B5E22A2DD_.wvu.Rows" localSheetId="14" hidden="1">'225 подробно'!$21:$52</definedName>
    <definedName name="Z_C88A4605_0F8D_4713_9317_AF13632C8FA6_.wvu.PrintArea" localSheetId="5" hidden="1">'(211-213)_ауп'!$A$1:$L$89</definedName>
    <definedName name="Z_C88A4605_0F8D_4713_9317_AF13632C8FA6_.wvu.PrintArea" localSheetId="3" hidden="1">'(211-213)_бюд'!$A$1:$M$89</definedName>
    <definedName name="Z_C88A4605_0F8D_4713_9317_AF13632C8FA6_.wvu.PrintArea" localSheetId="4" hidden="1">'(211-213)_пед'!$A$1:$L$89</definedName>
    <definedName name="Z_C88A4605_0F8D_4713_9317_AF13632C8FA6_.wvu.PrintArea" localSheetId="10" hidden="1">'221'!$A$1:$N$11</definedName>
    <definedName name="Z_C88A4605_0F8D_4713_9317_AF13632C8FA6_.wvu.PrintArea" localSheetId="11" hidden="1">'222'!$A$1:$K$12</definedName>
    <definedName name="Z_C88A4605_0F8D_4713_9317_AF13632C8FA6_.wvu.PrintArea" localSheetId="12" hidden="1">'223'!$A$1:$K$9</definedName>
    <definedName name="Z_C88A4605_0F8D_4713_9317_AF13632C8FA6_.wvu.PrintArea" localSheetId="14" hidden="1">'225 подробно'!$A$1:$K$52</definedName>
    <definedName name="Z_C88A4605_0F8D_4713_9317_AF13632C8FA6_.wvu.PrintArea" localSheetId="15" hidden="1">'226 подробно'!$A$1:$H$22</definedName>
    <definedName name="Z_C88A4605_0F8D_4713_9317_AF13632C8FA6_.wvu.PrintArea" localSheetId="17" hidden="1">'227'!$A$1:$K$8</definedName>
    <definedName name="Z_C88A4605_0F8D_4713_9317_AF13632C8FA6_.wvu.PrintArea" localSheetId="19" hidden="1">'290'!$A$1:$K$11</definedName>
    <definedName name="Z_C88A4605_0F8D_4713_9317_AF13632C8FA6_.wvu.PrintArea" localSheetId="8" hidden="1">командировки_ауп!$A$1:$N$11</definedName>
    <definedName name="Z_C88A4605_0F8D_4713_9317_AF13632C8FA6_.wvu.PrintArea" localSheetId="7" hidden="1">командировки_пед!$A$1:$N$11</definedName>
    <definedName name="Z_C88A4605_0F8D_4713_9317_AF13632C8FA6_.wvu.PrintArea" localSheetId="0" hidden="1">'раздел 1_2'!$B$1:$Q$104</definedName>
    <definedName name="Z_C88A4605_0F8D_4713_9317_AF13632C8FA6_.wvu.PrintArea" localSheetId="1" hidden="1">'раздел 2'!$A$1:$Z$46</definedName>
    <definedName name="Z_C88A4605_0F8D_4713_9317_AF13632C8FA6_.wvu.PrintArea" localSheetId="2" hidden="1">'раздел 3 доходы'!$A$1:$K$141</definedName>
    <definedName name="Z_C88A4605_0F8D_4713_9317_AF13632C8FA6_.wvu.PrintArea" localSheetId="6" hidden="1">сводная!$A$1:$E$26</definedName>
    <definedName name="Z_C88A4605_0F8D_4713_9317_AF13632C8FA6_.wvu.PrintTitles" localSheetId="0" hidden="1">'раздел 1_2'!$24:$24</definedName>
    <definedName name="Z_C88A4605_0F8D_4713_9317_AF13632C8FA6_.wvu.PrintTitles" localSheetId="1" hidden="1">'раздел 2'!$6:$6</definedName>
    <definedName name="Z_C88A4605_0F8D_4713_9317_AF13632C8FA6_.wvu.PrintTitles" localSheetId="2" hidden="1">'раздел 3 доходы'!$6:$6</definedName>
    <definedName name="Z_C88A4605_0F8D_4713_9317_AF13632C8FA6_.wvu.Rows" localSheetId="14" hidden="1">'225 подробно'!$20:$52</definedName>
    <definedName name="Z_DC13F25B_CAA7_4E25_AFF1_0DCF9AD75BDE_.wvu.PrintArea" localSheetId="5" hidden="1">'(211-213)_ауп'!$A$1:$L$105</definedName>
    <definedName name="Z_DC13F25B_CAA7_4E25_AFF1_0DCF9AD75BDE_.wvu.PrintArea" localSheetId="3" hidden="1">'(211-213)_бюд'!$A$1:$M$102</definedName>
    <definedName name="Z_DC13F25B_CAA7_4E25_AFF1_0DCF9AD75BDE_.wvu.PrintArea" localSheetId="4" hidden="1">'(211-213)_пед'!$A$1:$L$103</definedName>
    <definedName name="Z_DC13F25B_CAA7_4E25_AFF1_0DCF9AD75BDE_.wvu.PrintArea" localSheetId="10" hidden="1">'221'!$A$1:$N$10</definedName>
    <definedName name="Z_DC13F25B_CAA7_4E25_AFF1_0DCF9AD75BDE_.wvu.PrintArea" localSheetId="11" hidden="1">'222'!$A$1:$K$11</definedName>
    <definedName name="Z_DC13F25B_CAA7_4E25_AFF1_0DCF9AD75BDE_.wvu.PrintArea" localSheetId="12" hidden="1">'223'!$A$1:$K$16</definedName>
    <definedName name="Z_DC13F25B_CAA7_4E25_AFF1_0DCF9AD75BDE_.wvu.PrintArea" localSheetId="14" hidden="1">'225 подробно'!$A$1:$K$52</definedName>
    <definedName name="Z_DC13F25B_CAA7_4E25_AFF1_0DCF9AD75BDE_.wvu.PrintArea" localSheetId="15" hidden="1">'226 подробно'!$A$1:$H$22</definedName>
    <definedName name="Z_DC13F25B_CAA7_4E25_AFF1_0DCF9AD75BDE_.wvu.PrintArea" localSheetId="17" hidden="1">'227'!$A$1:$K$8</definedName>
    <definedName name="Z_DC13F25B_CAA7_4E25_AFF1_0DCF9AD75BDE_.wvu.PrintArea" localSheetId="9" hidden="1">'262'!$A$1:$K$7</definedName>
    <definedName name="Z_DC13F25B_CAA7_4E25_AFF1_0DCF9AD75BDE_.wvu.PrintArea" localSheetId="19" hidden="1">'290'!$A$1:$K$11</definedName>
    <definedName name="Z_DC13F25B_CAA7_4E25_AFF1_0DCF9AD75BDE_.wvu.PrintArea" localSheetId="8" hidden="1">командировки_ауп!$A$1:$N$10</definedName>
    <definedName name="Z_DC13F25B_CAA7_4E25_AFF1_0DCF9AD75BDE_.wvu.PrintArea" localSheetId="7" hidden="1">командировки_пед!$A$1:$N$10</definedName>
    <definedName name="Z_DC13F25B_CAA7_4E25_AFF1_0DCF9AD75BDE_.wvu.PrintArea" localSheetId="0" hidden="1">'раздел 1_2'!$A$1:$Q$143</definedName>
    <definedName name="Z_DC13F25B_CAA7_4E25_AFF1_0DCF9AD75BDE_.wvu.PrintArea" localSheetId="1" hidden="1">'раздел 2'!$A$1:$AA$68</definedName>
    <definedName name="Z_DC13F25B_CAA7_4E25_AFF1_0DCF9AD75BDE_.wvu.PrintArea" localSheetId="2" hidden="1">'раздел 3 доходы'!$A$1:$K$141</definedName>
    <definedName name="Z_DC13F25B_CAA7_4E25_AFF1_0DCF9AD75BDE_.wvu.PrintArea" localSheetId="6" hidden="1">сводная!$A$1:$E$26</definedName>
    <definedName name="Z_DC13F25B_CAA7_4E25_AFF1_0DCF9AD75BDE_.wvu.PrintTitles" localSheetId="0" hidden="1">'раздел 1_2'!$24:$24</definedName>
    <definedName name="Z_DC13F25B_CAA7_4E25_AFF1_0DCF9AD75BDE_.wvu.PrintTitles" localSheetId="1" hidden="1">'раздел 2'!$6:$6</definedName>
    <definedName name="Z_DC13F25B_CAA7_4E25_AFF1_0DCF9AD75BDE_.wvu.PrintTitles" localSheetId="2" hidden="1">'раздел 3 доходы'!$6:$6</definedName>
    <definedName name="Z_DC13F25B_CAA7_4E25_AFF1_0DCF9AD75BDE_.wvu.Rows" localSheetId="14" hidden="1">'225 подробно'!$21:$52</definedName>
    <definedName name="_xlnm.Print_Titles" localSheetId="0">'раздел 1_2'!$24:$24</definedName>
    <definedName name="_xlnm.Print_Titles" localSheetId="1">'раздел 2'!$6:$6</definedName>
    <definedName name="_xlnm.Print_Titles" localSheetId="2">'раздел 3 доходы'!$6:$6</definedName>
    <definedName name="_xlnm.Print_Area" localSheetId="5">'(211-213)_ауп'!$A$1:$L$105</definedName>
    <definedName name="_xlnm.Print_Area" localSheetId="3">'(211-213)_бюд'!$A$1:$M$102</definedName>
    <definedName name="_xlnm.Print_Area" localSheetId="4">'(211-213)_пед'!$A$1:$L$103</definedName>
    <definedName name="_xlnm.Print_Area" localSheetId="10">'221'!$A$1:$N$10</definedName>
    <definedName name="_xlnm.Print_Area" localSheetId="11">'222'!$A$1:$K$11</definedName>
    <definedName name="_xlnm.Print_Area" localSheetId="12">'223'!$A$1:$K$16</definedName>
    <definedName name="_xlnm.Print_Area" localSheetId="14">'225 подробно'!$A$1:$K$50</definedName>
    <definedName name="_xlnm.Print_Area" localSheetId="15">'226 подробно'!$A$1:$H$40</definedName>
    <definedName name="_xlnm.Print_Area" localSheetId="17">'227'!$A$1:$K$8</definedName>
    <definedName name="_xlnm.Print_Area" localSheetId="9">'262'!$A$1:$K$7</definedName>
    <definedName name="_xlnm.Print_Area" localSheetId="19">'290'!$A$1:$K$11</definedName>
    <definedName name="_xlnm.Print_Area" localSheetId="8">командировки_ауп!$A$1:$N$10</definedName>
    <definedName name="_xlnm.Print_Area" localSheetId="7">командировки_пед!$A$1:$N$10</definedName>
    <definedName name="_xlnm.Print_Area" localSheetId="0">'раздел 1_2'!$A$1:$Q$143</definedName>
    <definedName name="_xlnm.Print_Area" localSheetId="1">'раздел 2'!$A$1:$AA$68</definedName>
    <definedName name="_xlnm.Print_Area" localSheetId="2">'раздел 3 доходы'!$A$1:$K$157</definedName>
    <definedName name="_xlnm.Print_Area" localSheetId="6">сводная!$A$1:$E$24</definedName>
  </definedNames>
  <calcPr calcId="152511"/>
  <customWorkbookViews>
    <customWorkbookView name="econsov11 - Личное представление" guid="{DC13F25B-CAA7-4E25-AFF1-0DCF9AD75BDE}" mergeInterval="0" personalView="1" maximized="1" xWindow="1" yWindow="1" windowWidth="1916" windowHeight="834" tabRatio="835" activeSheetId="1"/>
    <customWorkbookView name="201(2) - Личное представление" guid="{6AD2622C-AF85-4997-AA93-A54C85AD6D68}" mergeInterval="0" personalView="1" maximized="1" xWindow="1" yWindow="1" windowWidth="1680" windowHeight="767" tabRatio="877" activeSheetId="3"/>
    <customWorkbookView name="202u7 - Личное представление" guid="{C88A4605-0F8D-4713-9317-AF13632C8FA6}" mergeInterval="0" personalView="1" maximized="1" xWindow="1" yWindow="1" windowWidth="1280" windowHeight="650" tabRatio="877" activeSheetId="1"/>
    <customWorkbookView name="econokt2 - Личное представление" guid="{84CC8968-6D7C-41C4-B973-ECD381BB63FC}" mergeInterval="0" personalView="1" maximized="1" xWindow="1" yWindow="1" windowWidth="1916" windowHeight="850" tabRatio="835" activeSheetId="6" showComments="commIndAndComment"/>
    <customWorkbookView name="ashirapova - Личное представление" guid="{C47F8591-E97A-4739-B299-8B7B5E22A2DD}" mergeInterval="0" personalView="1" xWindow="36" yWindow="18" windowWidth="1367" windowHeight="1002" tabRatio="835" activeSheetId="1"/>
  </customWorkbookViews>
</workbook>
</file>

<file path=xl/calcChain.xml><?xml version="1.0" encoding="utf-8"?>
<calcChain xmlns="http://schemas.openxmlformats.org/spreadsheetml/2006/main">
  <c r="J114" i="1" l="1"/>
  <c r="S114" i="1" l="1"/>
  <c r="L91" i="1" l="1"/>
  <c r="J92" i="1"/>
  <c r="J91" i="1"/>
  <c r="L92" i="1"/>
  <c r="F8" i="12"/>
  <c r="E13" i="24"/>
  <c r="L86" i="1" s="1"/>
  <c r="H8" i="12"/>
  <c r="D13" i="24"/>
  <c r="G8" i="12"/>
  <c r="C13" i="24"/>
  <c r="H86" i="1" s="1"/>
  <c r="G49" i="22"/>
  <c r="H49" i="22" s="1"/>
  <c r="D49" i="22"/>
  <c r="E49" i="22" s="1"/>
  <c r="G48" i="22"/>
  <c r="H48" i="22" s="1"/>
  <c r="D48" i="22"/>
  <c r="E48" i="22" s="1"/>
  <c r="G43" i="22"/>
  <c r="H43" i="22" s="1"/>
  <c r="D43" i="22"/>
  <c r="E43" i="22" s="1"/>
  <c r="G42" i="22"/>
  <c r="H42" i="22" s="1"/>
  <c r="D42" i="22"/>
  <c r="E42" i="22" s="1"/>
  <c r="G41" i="22"/>
  <c r="H41" i="22" s="1"/>
  <c r="D41" i="22"/>
  <c r="E41" i="22" s="1"/>
  <c r="G40" i="22"/>
  <c r="H40" i="22" s="1"/>
  <c r="D40" i="22"/>
  <c r="E40" i="22" s="1"/>
  <c r="G39" i="22"/>
  <c r="H39" i="22" s="1"/>
  <c r="D39" i="22"/>
  <c r="E39" i="22" s="1"/>
  <c r="G38" i="22"/>
  <c r="H38" i="22" s="1"/>
  <c r="D38" i="22"/>
  <c r="E38" i="22" s="1"/>
  <c r="G37" i="22"/>
  <c r="H37" i="22" s="1"/>
  <c r="D37" i="22"/>
  <c r="E37" i="22" s="1"/>
  <c r="G36" i="22"/>
  <c r="H36" i="22" s="1"/>
  <c r="D36" i="22"/>
  <c r="E36" i="22" s="1"/>
  <c r="G35" i="22"/>
  <c r="H35" i="22" s="1"/>
  <c r="D35" i="22"/>
  <c r="E35" i="22" s="1"/>
  <c r="G34" i="22"/>
  <c r="H34" i="22" s="1"/>
  <c r="D34" i="22"/>
  <c r="E34" i="22" s="1"/>
  <c r="G33" i="22"/>
  <c r="H33" i="22" s="1"/>
  <c r="D33" i="22"/>
  <c r="E33" i="22" s="1"/>
  <c r="G32" i="22"/>
  <c r="H32" i="22" s="1"/>
  <c r="D32" i="22"/>
  <c r="E32" i="22" s="1"/>
  <c r="G31" i="22"/>
  <c r="H31" i="22" s="1"/>
  <c r="D31" i="22"/>
  <c r="E31" i="22" s="1"/>
  <c r="G30" i="22"/>
  <c r="D30" i="22"/>
  <c r="G29" i="22"/>
  <c r="H29" i="22" s="1"/>
  <c r="D29" i="22"/>
  <c r="E29" i="22" s="1"/>
  <c r="G28" i="22"/>
  <c r="H28" i="22" s="1"/>
  <c r="D28" i="22"/>
  <c r="E28" i="22" s="1"/>
  <c r="G27" i="22"/>
  <c r="H27" i="22" s="1"/>
  <c r="D27" i="22"/>
  <c r="E27" i="22" s="1"/>
  <c r="G26" i="22"/>
  <c r="H26" i="22" s="1"/>
  <c r="D26" i="22"/>
  <c r="E26" i="22" s="1"/>
  <c r="G25" i="22"/>
  <c r="H25" i="22" s="1"/>
  <c r="D25" i="22"/>
  <c r="E25" i="22" s="1"/>
  <c r="G24" i="22"/>
  <c r="H24" i="22" s="1"/>
  <c r="D24" i="22"/>
  <c r="E24" i="22" s="1"/>
  <c r="G23" i="22"/>
  <c r="H23" i="22" s="1"/>
  <c r="D23" i="22"/>
  <c r="E23" i="22" s="1"/>
  <c r="G22" i="22"/>
  <c r="H22" i="22" s="1"/>
  <c r="D22" i="22"/>
  <c r="E22" i="22" s="1"/>
  <c r="G21" i="22"/>
  <c r="H21" i="22" s="1"/>
  <c r="D21" i="22"/>
  <c r="E21" i="22" s="1"/>
  <c r="G20" i="22"/>
  <c r="H20" i="22" s="1"/>
  <c r="D20" i="22"/>
  <c r="E20" i="22" s="1"/>
  <c r="G19" i="22"/>
  <c r="H19" i="22" s="1"/>
  <c r="D19" i="22"/>
  <c r="E19" i="22" s="1"/>
  <c r="G18" i="22"/>
  <c r="H18" i="22" s="1"/>
  <c r="D18" i="22"/>
  <c r="E18" i="22" s="1"/>
  <c r="G17" i="22"/>
  <c r="H17" i="22" s="1"/>
  <c r="D17" i="22"/>
  <c r="E17" i="22" s="1"/>
  <c r="G16" i="22"/>
  <c r="H16" i="22" s="1"/>
  <c r="D16" i="22"/>
  <c r="E16" i="22" s="1"/>
  <c r="G15" i="22"/>
  <c r="H15" i="22" s="1"/>
  <c r="D15" i="22"/>
  <c r="E15" i="22" s="1"/>
  <c r="G14" i="22"/>
  <c r="H14" i="22" s="1"/>
  <c r="D14" i="22"/>
  <c r="E14" i="22" s="1"/>
  <c r="G13" i="22"/>
  <c r="H13" i="22" s="1"/>
  <c r="D13" i="22"/>
  <c r="E13" i="22" s="1"/>
  <c r="G12" i="22"/>
  <c r="H12" i="22" s="1"/>
  <c r="D12" i="22"/>
  <c r="E12" i="22" s="1"/>
  <c r="G11" i="22"/>
  <c r="H11" i="22" s="1"/>
  <c r="D11" i="22"/>
  <c r="E11" i="22" s="1"/>
  <c r="G10" i="22"/>
  <c r="H10" i="22" s="1"/>
  <c r="D10" i="22"/>
  <c r="E10" i="22" s="1"/>
  <c r="G9" i="22"/>
  <c r="H9" i="22" s="1"/>
  <c r="D9" i="22"/>
  <c r="E9" i="22" s="1"/>
  <c r="G8" i="22"/>
  <c r="H8" i="22" s="1"/>
  <c r="D8" i="22"/>
  <c r="E8" i="22" s="1"/>
  <c r="G7" i="22"/>
  <c r="H7" i="22" s="1"/>
  <c r="D7" i="22"/>
  <c r="E7" i="22" s="1"/>
  <c r="G6" i="22"/>
  <c r="H6" i="22" s="1"/>
  <c r="D6" i="22"/>
  <c r="E6" i="22" s="1"/>
  <c r="H43" i="21"/>
  <c r="G43" i="21"/>
  <c r="D6" i="21"/>
  <c r="E6" i="21" s="1"/>
  <c r="D7" i="21"/>
  <c r="E7" i="21" s="1"/>
  <c r="D8" i="21"/>
  <c r="E8" i="21" s="1"/>
  <c r="D9" i="21"/>
  <c r="E9" i="21" s="1"/>
  <c r="D10" i="21"/>
  <c r="E10" i="21" s="1"/>
  <c r="D11" i="21"/>
  <c r="E11" i="21" s="1"/>
  <c r="D12" i="21"/>
  <c r="E12" i="21" s="1"/>
  <c r="D13" i="21"/>
  <c r="E13" i="21" s="1"/>
  <c r="D14" i="21"/>
  <c r="E14" i="21" s="1"/>
  <c r="D15" i="21"/>
  <c r="E15" i="21" s="1"/>
  <c r="D16" i="21"/>
  <c r="E16" i="21" s="1"/>
  <c r="D17" i="21"/>
  <c r="E17" i="21" s="1"/>
  <c r="D18" i="21"/>
  <c r="E18" i="21" s="1"/>
  <c r="D19" i="21"/>
  <c r="E19" i="21" s="1"/>
  <c r="D20" i="21"/>
  <c r="E20" i="21" s="1"/>
  <c r="D21" i="21"/>
  <c r="E21" i="21" s="1"/>
  <c r="D22" i="21"/>
  <c r="E22" i="21" s="1"/>
  <c r="D23" i="21"/>
  <c r="E23" i="21" s="1"/>
  <c r="D24" i="21"/>
  <c r="E24" i="21" s="1"/>
  <c r="D25" i="21"/>
  <c r="E25" i="21" s="1"/>
  <c r="D26" i="21"/>
  <c r="E26" i="21" s="1"/>
  <c r="D27" i="21"/>
  <c r="E27" i="21" s="1"/>
  <c r="D38" i="21"/>
  <c r="E38" i="21" s="1"/>
  <c r="D39" i="21"/>
  <c r="E39" i="21" s="1"/>
  <c r="G9" i="20"/>
  <c r="H9" i="20" s="1"/>
  <c r="G8" i="20"/>
  <c r="H8" i="20" s="1"/>
  <c r="G7" i="20"/>
  <c r="H7" i="20" s="1"/>
  <c r="G6" i="20"/>
  <c r="H6" i="20" s="1"/>
  <c r="N8" i="19"/>
  <c r="M8" i="19"/>
  <c r="J6" i="19"/>
  <c r="K6" i="19" s="1"/>
  <c r="G6" i="19"/>
  <c r="H6" i="19" s="1"/>
  <c r="E30" i="22" l="1"/>
  <c r="H30" i="22"/>
  <c r="G40" i="21"/>
  <c r="G45" i="21"/>
  <c r="H40" i="21"/>
  <c r="L89" i="1" s="1"/>
  <c r="H45" i="21"/>
  <c r="D8" i="20"/>
  <c r="E8" i="20"/>
  <c r="D6" i="20"/>
  <c r="D7" i="20"/>
  <c r="K50" i="22"/>
  <c r="L88" i="1" s="1"/>
  <c r="K11" i="20"/>
  <c r="E18" i="24" s="1"/>
  <c r="E19" i="24"/>
  <c r="H42" i="21"/>
  <c r="L82" i="1"/>
  <c r="J82" i="1"/>
  <c r="D6" i="19"/>
  <c r="J50" i="22"/>
  <c r="J52" i="22" s="1"/>
  <c r="J89" i="1"/>
  <c r="G42" i="21"/>
  <c r="J86" i="1"/>
  <c r="D16" i="24"/>
  <c r="J11" i="20"/>
  <c r="D18" i="24" s="1"/>
  <c r="D19" i="24" s="1"/>
  <c r="E7" i="20"/>
  <c r="E9" i="20"/>
  <c r="D9" i="20"/>
  <c r="E6" i="20"/>
  <c r="E6" i="19"/>
  <c r="K52" i="22" l="1"/>
  <c r="E16" i="24"/>
  <c r="J88" i="1"/>
  <c r="K58" i="1" l="1"/>
  <c r="M58" i="1"/>
  <c r="M32" i="1"/>
  <c r="E152" i="3"/>
  <c r="E157" i="3" s="1"/>
  <c r="D152" i="3"/>
  <c r="D157" i="3" s="1"/>
  <c r="J94" i="3"/>
  <c r="H99" i="3"/>
  <c r="G99" i="3"/>
  <c r="F99" i="3"/>
  <c r="H98" i="3"/>
  <c r="G98" i="3"/>
  <c r="F98" i="3"/>
  <c r="H96" i="3"/>
  <c r="G96" i="3"/>
  <c r="K95" i="3"/>
  <c r="J95" i="3"/>
  <c r="I95" i="3"/>
  <c r="J111" i="3" l="1"/>
  <c r="K32" i="1"/>
  <c r="J119" i="3"/>
  <c r="G119" i="3" s="1"/>
  <c r="K50" i="6" l="1"/>
  <c r="I38" i="6"/>
  <c r="K38" i="6"/>
  <c r="I50" i="6"/>
  <c r="J69" i="3"/>
  <c r="K69" i="3"/>
  <c r="D38" i="6" l="1"/>
  <c r="L38" i="6" s="1"/>
  <c r="D50" i="6"/>
  <c r="L50" i="6" s="1"/>
  <c r="L63" i="1"/>
  <c r="J63" i="1"/>
  <c r="M2" i="1"/>
  <c r="L123" i="1" l="1"/>
  <c r="N123" i="1"/>
  <c r="O13" i="1"/>
  <c r="O14" i="1"/>
  <c r="O15" i="1"/>
  <c r="O16" i="1"/>
  <c r="O17" i="1"/>
  <c r="O12" i="1"/>
  <c r="M78" i="1" l="1"/>
  <c r="I78" i="1"/>
  <c r="M71" i="1"/>
  <c r="I71" i="1"/>
  <c r="K71" i="1"/>
  <c r="C12" i="13" l="1"/>
  <c r="G12" i="13"/>
  <c r="D12" i="13" s="1"/>
  <c r="F11" i="13"/>
  <c r="G11" i="13" s="1"/>
  <c r="H12" i="13" l="1"/>
  <c r="E12" i="13" s="1"/>
  <c r="K10" i="13"/>
  <c r="L94" i="1" s="1"/>
  <c r="I10" i="13"/>
  <c r="H94" i="1" s="1"/>
  <c r="J10" i="13"/>
  <c r="J94" i="1" s="1"/>
  <c r="H11" i="13"/>
  <c r="E11" i="13" s="1"/>
  <c r="D11" i="13"/>
  <c r="C11" i="13"/>
  <c r="J7" i="13" l="1"/>
  <c r="J87" i="1" s="1"/>
  <c r="J16" i="13"/>
  <c r="D14" i="24" s="1"/>
  <c r="K7" i="13" l="1"/>
  <c r="L87" i="1" s="1"/>
  <c r="K16" i="13"/>
  <c r="E14" i="24" s="1"/>
  <c r="I7" i="13" l="1"/>
  <c r="H87" i="1" s="1"/>
  <c r="L10" i="8"/>
  <c r="I16" i="13" l="1"/>
  <c r="C14" i="24" s="1"/>
  <c r="N24" i="4"/>
  <c r="G10" i="1" l="1"/>
  <c r="N7" i="1" s="1"/>
  <c r="I40" i="1" l="1"/>
  <c r="I67" i="1"/>
  <c r="J113" i="1" l="1"/>
  <c r="H98" i="1"/>
  <c r="J98" i="1"/>
  <c r="K98" i="1"/>
  <c r="L98" i="1"/>
  <c r="M98" i="1"/>
  <c r="F9" i="13"/>
  <c r="G9" i="13" s="1"/>
  <c r="F8" i="13"/>
  <c r="G8" i="13" s="1"/>
  <c r="H8" i="13" s="1"/>
  <c r="K48" i="5"/>
  <c r="K50" i="5"/>
  <c r="K49" i="5"/>
  <c r="K38" i="5"/>
  <c r="K37" i="5"/>
  <c r="K36" i="5"/>
  <c r="K49" i="6"/>
  <c r="K48" i="6"/>
  <c r="K37" i="6"/>
  <c r="K36" i="6"/>
  <c r="K50" i="4"/>
  <c r="K49" i="4"/>
  <c r="K48" i="4"/>
  <c r="K38" i="4"/>
  <c r="K37" i="4"/>
  <c r="K36" i="4"/>
  <c r="I50" i="5"/>
  <c r="I49" i="5"/>
  <c r="I38" i="5"/>
  <c r="I37" i="5"/>
  <c r="I36" i="5"/>
  <c r="I49" i="6"/>
  <c r="I48" i="6"/>
  <c r="I37" i="6"/>
  <c r="I36" i="6"/>
  <c r="I50" i="4"/>
  <c r="I49" i="4"/>
  <c r="I48" i="4"/>
  <c r="I38" i="4"/>
  <c r="I37" i="4"/>
  <c r="I36" i="4"/>
  <c r="K25" i="5"/>
  <c r="K26" i="5"/>
  <c r="K26" i="6"/>
  <c r="K25" i="4"/>
  <c r="K26" i="4"/>
  <c r="I25" i="5"/>
  <c r="I26" i="5"/>
  <c r="I26" i="6"/>
  <c r="I25" i="4"/>
  <c r="I26" i="4"/>
  <c r="F51" i="5"/>
  <c r="E51" i="5"/>
  <c r="G51" i="6"/>
  <c r="F51" i="6"/>
  <c r="E51" i="6"/>
  <c r="G51" i="4"/>
  <c r="F51" i="4"/>
  <c r="E51" i="4"/>
  <c r="G39" i="5"/>
  <c r="F39" i="5"/>
  <c r="E39" i="5"/>
  <c r="G39" i="6"/>
  <c r="F39" i="6"/>
  <c r="G39" i="4"/>
  <c r="F39" i="4"/>
  <c r="E39" i="4"/>
  <c r="D37" i="6" l="1"/>
  <c r="D48" i="6"/>
  <c r="D49" i="6"/>
  <c r="D38" i="5"/>
  <c r="L38" i="5" s="1"/>
  <c r="D49" i="5"/>
  <c r="L49" i="5" s="1"/>
  <c r="K39" i="6"/>
  <c r="D26" i="6"/>
  <c r="L26" i="6" s="1"/>
  <c r="D25" i="4"/>
  <c r="D26" i="5"/>
  <c r="D37" i="4"/>
  <c r="L37" i="4" s="1"/>
  <c r="D49" i="4"/>
  <c r="L49" i="4" s="1"/>
  <c r="K51" i="6"/>
  <c r="D26" i="4"/>
  <c r="D25" i="5"/>
  <c r="D38" i="4"/>
  <c r="L38" i="4" s="1"/>
  <c r="I51" i="4"/>
  <c r="L49" i="6"/>
  <c r="D50" i="5"/>
  <c r="L50" i="5" s="1"/>
  <c r="K51" i="4"/>
  <c r="D50" i="4"/>
  <c r="L50" i="4" s="1"/>
  <c r="D37" i="5"/>
  <c r="L37" i="5" s="1"/>
  <c r="K51" i="5"/>
  <c r="I51" i="6"/>
  <c r="C9" i="13"/>
  <c r="D48" i="4"/>
  <c r="L48" i="4" s="1"/>
  <c r="H9" i="13"/>
  <c r="E9" i="13" s="1"/>
  <c r="D9" i="13"/>
  <c r="G51" i="5"/>
  <c r="I48" i="5"/>
  <c r="L48" i="6"/>
  <c r="L37" i="6"/>
  <c r="K39" i="4"/>
  <c r="E39" i="6"/>
  <c r="K39" i="5"/>
  <c r="I39" i="4"/>
  <c r="I39" i="5"/>
  <c r="D8" i="7"/>
  <c r="D7" i="7"/>
  <c r="C9" i="7"/>
  <c r="K9" i="7"/>
  <c r="H9" i="7"/>
  <c r="K8" i="7"/>
  <c r="H8" i="7"/>
  <c r="C8" i="7"/>
  <c r="K7" i="7"/>
  <c r="H7" i="7"/>
  <c r="D7" i="8"/>
  <c r="C8" i="8"/>
  <c r="C9" i="8"/>
  <c r="H9" i="8"/>
  <c r="K8" i="8"/>
  <c r="H8" i="8"/>
  <c r="K7" i="8"/>
  <c r="H7" i="8"/>
  <c r="C7" i="8"/>
  <c r="C7" i="7"/>
  <c r="K100" i="3"/>
  <c r="K101" i="3"/>
  <c r="K102" i="3"/>
  <c r="K103" i="3"/>
  <c r="K104" i="3"/>
  <c r="K105" i="3"/>
  <c r="K106" i="3"/>
  <c r="K107" i="3"/>
  <c r="K108" i="3"/>
  <c r="K109" i="3"/>
  <c r="K110" i="3"/>
  <c r="J100" i="3"/>
  <c r="J101" i="3"/>
  <c r="J102" i="3"/>
  <c r="J103" i="3"/>
  <c r="J104" i="3"/>
  <c r="J105" i="3"/>
  <c r="J106" i="3"/>
  <c r="J107" i="3"/>
  <c r="J108" i="3"/>
  <c r="J109" i="3"/>
  <c r="J110" i="3"/>
  <c r="I100" i="3"/>
  <c r="I101" i="3"/>
  <c r="I102" i="3"/>
  <c r="I103" i="3"/>
  <c r="I104" i="3"/>
  <c r="I105" i="3"/>
  <c r="I106" i="3"/>
  <c r="I107" i="3"/>
  <c r="I108" i="3"/>
  <c r="I109" i="3"/>
  <c r="I110" i="3"/>
  <c r="D51" i="4" l="1"/>
  <c r="L51" i="4"/>
  <c r="P24" i="4"/>
  <c r="K24" i="4"/>
  <c r="I24" i="4"/>
  <c r="K24" i="5"/>
  <c r="I24" i="5"/>
  <c r="K25" i="6"/>
  <c r="I25" i="6"/>
  <c r="K24" i="6"/>
  <c r="I24" i="6"/>
  <c r="D9" i="8"/>
  <c r="D9" i="7"/>
  <c r="D8" i="8"/>
  <c r="I51" i="5"/>
  <c r="D48" i="5"/>
  <c r="L48" i="5" s="1"/>
  <c r="D51" i="6"/>
  <c r="L51" i="6"/>
  <c r="D36" i="5"/>
  <c r="L36" i="5" s="1"/>
  <c r="D36" i="4"/>
  <c r="L36" i="4" s="1"/>
  <c r="I39" i="6"/>
  <c r="D36" i="6"/>
  <c r="L36" i="6" s="1"/>
  <c r="E9" i="7"/>
  <c r="E9" i="8"/>
  <c r="N113" i="1"/>
  <c r="L113" i="1"/>
  <c r="E74" i="4" l="1"/>
  <c r="H74" i="4" s="1"/>
  <c r="O51" i="4"/>
  <c r="M11" i="4"/>
  <c r="D39" i="4"/>
  <c r="E74" i="6"/>
  <c r="H74" i="6" s="1"/>
  <c r="E11" i="6"/>
  <c r="N51" i="6"/>
  <c r="L39" i="4"/>
  <c r="D39" i="5"/>
  <c r="L39" i="5"/>
  <c r="D74" i="5" s="1"/>
  <c r="G74" i="5" s="1"/>
  <c r="D24" i="6"/>
  <c r="L24" i="6" s="1"/>
  <c r="D25" i="6"/>
  <c r="D24" i="5"/>
  <c r="L24" i="5" s="1"/>
  <c r="D24" i="4"/>
  <c r="L24" i="4" s="1"/>
  <c r="L51" i="5"/>
  <c r="W54" i="1" s="1"/>
  <c r="D51" i="5"/>
  <c r="E82" i="6"/>
  <c r="H82" i="6" s="1"/>
  <c r="D39" i="6"/>
  <c r="L39" i="6"/>
  <c r="U54" i="1" l="1"/>
  <c r="L11" i="4"/>
  <c r="E86" i="4"/>
  <c r="H86" i="4" s="1"/>
  <c r="E82" i="4"/>
  <c r="H82" i="4" s="1"/>
  <c r="E79" i="4"/>
  <c r="H79" i="4" s="1"/>
  <c r="E86" i="6"/>
  <c r="H86" i="6" s="1"/>
  <c r="E79" i="6"/>
  <c r="H79" i="6" s="1"/>
  <c r="D74" i="6"/>
  <c r="G74" i="6" s="1"/>
  <c r="D11" i="6"/>
  <c r="N39" i="6"/>
  <c r="N39" i="5"/>
  <c r="O39" i="5" s="1"/>
  <c r="D74" i="4"/>
  <c r="G74" i="4" s="1"/>
  <c r="O39" i="4"/>
  <c r="D79" i="5"/>
  <c r="G79" i="5" s="1"/>
  <c r="N51" i="5"/>
  <c r="O51" i="5" s="1"/>
  <c r="E11" i="5"/>
  <c r="D11" i="5"/>
  <c r="D82" i="5"/>
  <c r="G82" i="5" s="1"/>
  <c r="D86" i="5"/>
  <c r="G86" i="5" s="1"/>
  <c r="D86" i="6"/>
  <c r="G86" i="6" s="1"/>
  <c r="D79" i="6" l="1"/>
  <c r="G79" i="6" s="1"/>
  <c r="D82" i="6"/>
  <c r="G82" i="6" s="1"/>
  <c r="D86" i="4"/>
  <c r="G86" i="4" s="1"/>
  <c r="D79" i="4"/>
  <c r="G79" i="4" s="1"/>
  <c r="D82" i="4"/>
  <c r="G82" i="4" s="1"/>
  <c r="P61" i="2"/>
  <c r="V45" i="2" l="1"/>
  <c r="V46" i="2"/>
  <c r="V48" i="2"/>
  <c r="V47" i="2"/>
  <c r="V44" i="2"/>
  <c r="V42" i="2"/>
  <c r="V41" i="2"/>
  <c r="V40" i="2"/>
  <c r="V39" i="2"/>
  <c r="V37" i="2"/>
  <c r="S8" i="2" l="1"/>
  <c r="V8" i="2"/>
  <c r="E8" i="8" l="1"/>
  <c r="E7" i="8"/>
  <c r="E8" i="7"/>
  <c r="E7" i="7"/>
  <c r="I98" i="1" l="1"/>
  <c r="I62" i="1"/>
  <c r="I61" i="1"/>
  <c r="I47" i="1"/>
  <c r="K78" i="1" l="1"/>
  <c r="K62" i="1"/>
  <c r="K47" i="1"/>
  <c r="M47" i="1" s="1"/>
  <c r="K43" i="1"/>
  <c r="M43" i="1" s="1"/>
  <c r="K40" i="1"/>
  <c r="V36" i="2"/>
  <c r="S50" i="2"/>
  <c r="V50" i="2"/>
  <c r="AA70" i="2" l="1"/>
  <c r="Z70" i="2"/>
  <c r="Y70" i="2"/>
  <c r="X70" i="2"/>
  <c r="W70" i="2"/>
  <c r="U70" i="2"/>
  <c r="T70" i="2"/>
  <c r="R70" i="2"/>
  <c r="Q70" i="2"/>
  <c r="Z69" i="2"/>
  <c r="Y69" i="2"/>
  <c r="R69" i="2"/>
  <c r="Q69" i="2"/>
  <c r="V67" i="2"/>
  <c r="S66" i="2"/>
  <c r="V61" i="2"/>
  <c r="S61" i="2"/>
  <c r="X58" i="2"/>
  <c r="X69" i="2" s="1"/>
  <c r="W58" i="2"/>
  <c r="W69" i="2" s="1"/>
  <c r="U58" i="2"/>
  <c r="U69" i="2" s="1"/>
  <c r="T58" i="2"/>
  <c r="T69" i="2" s="1"/>
  <c r="V20" i="2"/>
  <c r="S20" i="2"/>
  <c r="P20" i="2"/>
  <c r="L26" i="5" l="1"/>
  <c r="L25" i="5"/>
  <c r="F27" i="5"/>
  <c r="E27" i="5" l="1"/>
  <c r="E74" i="5" l="1"/>
  <c r="H74" i="5" s="1"/>
  <c r="E82" i="5" l="1"/>
  <c r="H82" i="5" s="1"/>
  <c r="E79" i="5"/>
  <c r="H79" i="5" s="1"/>
  <c r="E86" i="5"/>
  <c r="H86" i="5" s="1"/>
  <c r="G27" i="5" l="1"/>
  <c r="K27" i="5"/>
  <c r="J34" i="3"/>
  <c r="K34" i="3"/>
  <c r="J30" i="3"/>
  <c r="K30" i="3"/>
  <c r="K38" i="3" s="1"/>
  <c r="H12" i="3" s="1"/>
  <c r="H11" i="3" s="1"/>
  <c r="I34" i="3"/>
  <c r="J38" i="3" l="1"/>
  <c r="G12" i="3" s="1"/>
  <c r="G11" i="3" s="1"/>
  <c r="I27" i="5"/>
  <c r="L27" i="5"/>
  <c r="C74" i="5" l="1"/>
  <c r="F74" i="5" s="1"/>
  <c r="C11" i="5"/>
  <c r="D27" i="5"/>
  <c r="C82" i="5" l="1"/>
  <c r="F82" i="5" s="1"/>
  <c r="C86" i="5"/>
  <c r="F86" i="5" s="1"/>
  <c r="C79" i="5"/>
  <c r="F79" i="5" s="1"/>
  <c r="M10" i="8"/>
  <c r="N10" i="8"/>
  <c r="L10" i="7"/>
  <c r="M10" i="7"/>
  <c r="N10" i="7"/>
  <c r="D14" i="6"/>
  <c r="E14" i="6"/>
  <c r="C14" i="5"/>
  <c r="D14" i="5"/>
  <c r="E14" i="5"/>
  <c r="L14" i="4"/>
  <c r="M14" i="4"/>
  <c r="G27" i="4"/>
  <c r="L26" i="4"/>
  <c r="C51" i="3"/>
  <c r="D51" i="3"/>
  <c r="E51" i="3"/>
  <c r="F27" i="6"/>
  <c r="L56" i="1" l="1"/>
  <c r="J56" i="1"/>
  <c r="L25" i="4"/>
  <c r="D52" i="3"/>
  <c r="F27" i="4"/>
  <c r="E27" i="4"/>
  <c r="J122" i="3"/>
  <c r="D53" i="3" l="1"/>
  <c r="K27" i="4"/>
  <c r="I27" i="4" l="1"/>
  <c r="L27" i="4" l="1"/>
  <c r="D27" i="4"/>
  <c r="K11" i="4" l="1"/>
  <c r="K14" i="4" s="1"/>
  <c r="C74" i="4"/>
  <c r="F74" i="4" s="1"/>
  <c r="H23" i="3"/>
  <c r="G23" i="3"/>
  <c r="N9" i="3" s="1"/>
  <c r="C79" i="4" l="1"/>
  <c r="F79" i="4" s="1"/>
  <c r="C86" i="4"/>
  <c r="F86" i="4" s="1"/>
  <c r="C82" i="4"/>
  <c r="F82" i="4" s="1"/>
  <c r="F88" i="4" l="1"/>
  <c r="C63" i="4" l="1"/>
  <c r="C66" i="4" s="1"/>
  <c r="G88" i="4"/>
  <c r="H88" i="4"/>
  <c r="S88" i="4" l="1"/>
  <c r="E63" i="4"/>
  <c r="E66" i="4" s="1"/>
  <c r="Q88" i="4"/>
  <c r="D63" i="4"/>
  <c r="D66" i="4" s="1"/>
  <c r="F88" i="5" l="1"/>
  <c r="C63" i="5" l="1"/>
  <c r="C66" i="5" s="1"/>
  <c r="G88" i="5"/>
  <c r="H88" i="5"/>
  <c r="R88" i="5" l="1"/>
  <c r="E63" i="5"/>
  <c r="E66" i="5" s="1"/>
  <c r="P88" i="5"/>
  <c r="D63" i="5"/>
  <c r="D66" i="5" s="1"/>
  <c r="X54" i="1"/>
  <c r="G88" i="6" l="1"/>
  <c r="U59" i="1" s="1"/>
  <c r="P88" i="6" l="1"/>
  <c r="D63" i="6"/>
  <c r="D66" i="6" s="1"/>
  <c r="H88" i="6"/>
  <c r="W59" i="1" s="1"/>
  <c r="R88" i="6" l="1"/>
  <c r="E63" i="6"/>
  <c r="E66" i="6" s="1"/>
  <c r="L58" i="1" l="1"/>
  <c r="L53" i="1" s="1"/>
  <c r="X59" i="1"/>
  <c r="P50" i="2" l="1"/>
  <c r="E27" i="6" l="1"/>
  <c r="G27" i="6"/>
  <c r="I27" i="6" l="1"/>
  <c r="K27" i="6"/>
  <c r="L25" i="6" l="1"/>
  <c r="L27" i="6" s="1"/>
  <c r="D27" i="6"/>
  <c r="O27" i="6" l="1"/>
  <c r="S54" i="1"/>
  <c r="C11" i="6"/>
  <c r="C14" i="6" s="1"/>
  <c r="C74" i="6"/>
  <c r="F74" i="6" s="1"/>
  <c r="C82" i="6" l="1"/>
  <c r="F82" i="6" s="1"/>
  <c r="C86" i="6"/>
  <c r="F86" i="6" s="1"/>
  <c r="C79" i="6"/>
  <c r="F79" i="6" s="1"/>
  <c r="P10" i="2"/>
  <c r="F88" i="6" l="1"/>
  <c r="S59" i="1" s="1"/>
  <c r="P8" i="2"/>
  <c r="C63" i="6" l="1"/>
  <c r="C66" i="6" s="1"/>
  <c r="R139" i="1" l="1"/>
  <c r="V38" i="2" l="1"/>
  <c r="P35" i="2"/>
  <c r="P19" i="2" s="1"/>
  <c r="V43" i="2"/>
  <c r="V35" i="2" l="1"/>
  <c r="V19" i="2" s="1"/>
  <c r="S35" i="2"/>
  <c r="S19" i="2" s="1"/>
  <c r="AC19" i="2" l="1"/>
  <c r="AB14" i="2" l="1"/>
  <c r="K119" i="3" l="1"/>
  <c r="M53" i="1"/>
  <c r="K53" i="1"/>
  <c r="H119" i="3" l="1"/>
  <c r="K122" i="3"/>
  <c r="E53" i="3" s="1"/>
  <c r="M83" i="1"/>
  <c r="M80" i="1" s="1"/>
  <c r="M52" i="1" s="1"/>
  <c r="M28" i="1"/>
  <c r="K28" i="1"/>
  <c r="E137" i="3"/>
  <c r="L41" i="1" s="1"/>
  <c r="N127" i="1" l="1"/>
  <c r="N122" i="1" s="1"/>
  <c r="J61" i="1"/>
  <c r="L61" i="1"/>
  <c r="K94" i="3" l="1"/>
  <c r="K111" i="3" s="1"/>
  <c r="E136" i="3"/>
  <c r="E134" i="3" s="1"/>
  <c r="D134" i="3"/>
  <c r="E52" i="3" l="1"/>
  <c r="O9" i="3"/>
  <c r="D140" i="3"/>
  <c r="J41" i="1"/>
  <c r="E140" i="3"/>
  <c r="K27" i="1"/>
  <c r="N10" i="3" s="1"/>
  <c r="M27" i="1"/>
  <c r="O10" i="3" l="1"/>
  <c r="E68" i="3" l="1"/>
  <c r="D68" i="3" l="1"/>
  <c r="E67" i="3"/>
  <c r="D67" i="3" l="1"/>
  <c r="C67" i="3" l="1"/>
  <c r="C68" i="3" l="1"/>
  <c r="I69" i="3" l="1"/>
  <c r="H33" i="1" l="1"/>
  <c r="U22" i="1" l="1"/>
  <c r="U23" i="1" s="1"/>
  <c r="U27" i="1"/>
  <c r="C50" i="3"/>
  <c r="H32" i="1" l="1"/>
  <c r="D8" i="13" l="1"/>
  <c r="C8" i="13"/>
  <c r="I11" i="12"/>
  <c r="E8" i="13" l="1"/>
  <c r="N27" i="6" l="1"/>
  <c r="N27" i="5"/>
  <c r="O27" i="5" s="1"/>
  <c r="O27" i="4"/>
  <c r="J11" i="12" l="1"/>
  <c r="O88" i="4"/>
  <c r="K11" i="12" l="1"/>
  <c r="C7" i="17" l="1"/>
  <c r="D7" i="17" s="1"/>
  <c r="E7" i="17" s="1"/>
  <c r="K9" i="11" l="1"/>
  <c r="K7" i="11" l="1"/>
  <c r="K11" i="17"/>
  <c r="L70" i="1" s="1"/>
  <c r="K8" i="11"/>
  <c r="K8" i="16"/>
  <c r="E17" i="24" l="1"/>
  <c r="L90" i="1"/>
  <c r="L67" i="1"/>
  <c r="K7" i="18"/>
  <c r="E6" i="18"/>
  <c r="N10" i="11"/>
  <c r="E12" i="24" s="1"/>
  <c r="L85" i="1" l="1"/>
  <c r="E10" i="24"/>
  <c r="E24" i="24" s="1"/>
  <c r="N12" i="11"/>
  <c r="L33" i="1" l="1"/>
  <c r="E50" i="3"/>
  <c r="E49" i="3" s="1"/>
  <c r="E56" i="3" s="1"/>
  <c r="L32" i="1" l="1"/>
  <c r="L27" i="1" s="1"/>
  <c r="W22" i="1"/>
  <c r="W23" i="1" s="1"/>
  <c r="M25" i="1" l="1"/>
  <c r="M104" i="1" s="1"/>
  <c r="J8" i="16" l="1"/>
  <c r="J90" i="1" l="1"/>
  <c r="D17" i="24"/>
  <c r="J7" i="11"/>
  <c r="J11" i="17"/>
  <c r="J70" i="1" s="1"/>
  <c r="J67" i="1" s="1"/>
  <c r="J9" i="11"/>
  <c r="J8" i="11"/>
  <c r="D6" i="18" l="1"/>
  <c r="J7" i="18"/>
  <c r="M10" i="11"/>
  <c r="D12" i="24" s="1"/>
  <c r="J85" i="1" l="1"/>
  <c r="D10" i="24"/>
  <c r="D24" i="24" s="1"/>
  <c r="L83" i="1"/>
  <c r="L80" i="1" s="1"/>
  <c r="E25" i="24" s="1"/>
  <c r="E26" i="24" s="1"/>
  <c r="M12" i="11"/>
  <c r="V7" i="2" l="1"/>
  <c r="V65" i="2" s="1"/>
  <c r="V68" i="2" s="1"/>
  <c r="N120" i="1"/>
  <c r="N119" i="1" s="1"/>
  <c r="V15" i="2"/>
  <c r="V18" i="2"/>
  <c r="V16" i="2" s="1"/>
  <c r="N118" i="1"/>
  <c r="N110" i="1"/>
  <c r="N139" i="1" s="1"/>
  <c r="L52" i="1"/>
  <c r="L104" i="1" s="1"/>
  <c r="N140" i="1"/>
  <c r="L127" i="1"/>
  <c r="L122" i="1" s="1"/>
  <c r="J83" i="1"/>
  <c r="J80" i="1" s="1"/>
  <c r="D25" i="24" s="1"/>
  <c r="D26" i="24" s="1"/>
  <c r="V60" i="2" l="1"/>
  <c r="N136" i="1"/>
  <c r="N145" i="1" s="1"/>
  <c r="N134" i="1"/>
  <c r="N133" i="1" s="1"/>
  <c r="N144" i="1" s="1"/>
  <c r="L120" i="1"/>
  <c r="L119" i="1" s="1"/>
  <c r="V58" i="2"/>
  <c r="V69" i="2" s="1"/>
  <c r="V70" i="2"/>
  <c r="S18" i="2"/>
  <c r="S16" i="2" s="1"/>
  <c r="V54" i="1" l="1"/>
  <c r="J58" i="1" l="1"/>
  <c r="V59" i="1"/>
  <c r="J53" i="1" l="1"/>
  <c r="J52" i="1"/>
  <c r="D50" i="3" l="1"/>
  <c r="D49" i="3" s="1"/>
  <c r="D56" i="3" s="1"/>
  <c r="J33" i="1"/>
  <c r="J32" i="1" l="1"/>
  <c r="J27" i="1" s="1"/>
  <c r="J104" i="1" s="1"/>
  <c r="V22" i="1"/>
  <c r="V23" i="1" s="1"/>
  <c r="K83" i="1"/>
  <c r="K80" i="1" s="1"/>
  <c r="K52" i="1" l="1"/>
  <c r="K104" i="1" s="1"/>
  <c r="S15" i="2"/>
  <c r="L110" i="1"/>
  <c r="L138" i="1" s="1"/>
  <c r="S7" i="2"/>
  <c r="L118" i="1"/>
  <c r="L136" i="1" l="1"/>
  <c r="L134" i="1"/>
  <c r="L133" i="1" s="1"/>
  <c r="L144" i="1" s="1"/>
  <c r="S65" i="2"/>
  <c r="S67" i="2" s="1"/>
  <c r="S58" i="2"/>
  <c r="S69" i="2" s="1"/>
  <c r="S60" i="2"/>
  <c r="L140" i="1"/>
  <c r="L145" i="1" l="1"/>
  <c r="S70" i="2"/>
  <c r="J127" i="1" l="1"/>
  <c r="J140" i="1" l="1"/>
  <c r="N88" i="6" l="1"/>
  <c r="N88" i="5" l="1"/>
  <c r="E66" i="3" l="1"/>
  <c r="E65" i="3" l="1"/>
  <c r="K70" i="3" l="1"/>
  <c r="E64" i="3"/>
  <c r="D66" i="3" l="1"/>
  <c r="D65" i="3" l="1"/>
  <c r="J70" i="3" l="1"/>
  <c r="D64" i="3"/>
  <c r="C66" i="3" l="1"/>
  <c r="C65" i="3" l="1"/>
  <c r="I70" i="3" l="1"/>
  <c r="C64" i="3"/>
  <c r="T94" i="1" l="1"/>
  <c r="T87" i="1"/>
  <c r="C8" i="20" l="1"/>
  <c r="I7" i="11"/>
  <c r="F43" i="21"/>
  <c r="F45" i="21" s="1"/>
  <c r="C9" i="20"/>
  <c r="C7" i="20"/>
  <c r="I11" i="20" l="1"/>
  <c r="C18" i="24" s="1"/>
  <c r="C6" i="20"/>
  <c r="F40" i="21" l="1"/>
  <c r="H89" i="1" l="1"/>
  <c r="C19" i="24"/>
  <c r="I58" i="1" l="1"/>
  <c r="I53" i="1" s="1"/>
  <c r="L55" i="1" l="1"/>
  <c r="J55" i="1"/>
  <c r="I50" i="22"/>
  <c r="I9" i="11"/>
  <c r="F42" i="21" l="1"/>
  <c r="T89" i="1"/>
  <c r="H63" i="1"/>
  <c r="H61" i="1" s="1"/>
  <c r="I7" i="18"/>
  <c r="M7" i="18" s="1"/>
  <c r="C6" i="18"/>
  <c r="T86" i="1"/>
  <c r="I8" i="11"/>
  <c r="L10" i="11"/>
  <c r="L8" i="19"/>
  <c r="C6" i="19"/>
  <c r="H88" i="1"/>
  <c r="I83" i="1"/>
  <c r="I80" i="1" s="1"/>
  <c r="I52" i="1" s="1"/>
  <c r="I119" i="3"/>
  <c r="C152" i="3" l="1"/>
  <c r="C157" i="3" s="1"/>
  <c r="I43" i="1"/>
  <c r="C12" i="24"/>
  <c r="H85" i="1" s="1"/>
  <c r="L12" i="11"/>
  <c r="H92" i="1"/>
  <c r="H91" i="1"/>
  <c r="F6" i="16"/>
  <c r="G6" i="16" s="1"/>
  <c r="H6" i="16" s="1"/>
  <c r="I8" i="16"/>
  <c r="F119" i="3"/>
  <c r="I122" i="3"/>
  <c r="C53" i="3" s="1"/>
  <c r="I52" i="22"/>
  <c r="T88" i="1"/>
  <c r="H82" i="1"/>
  <c r="C16" i="24"/>
  <c r="C6" i="17"/>
  <c r="D6" i="17" s="1"/>
  <c r="E6" i="17" s="1"/>
  <c r="I11" i="17"/>
  <c r="H70" i="1" s="1"/>
  <c r="H67" i="1" s="1"/>
  <c r="T67" i="1" s="1"/>
  <c r="S56" i="1"/>
  <c r="C134" i="3" l="1"/>
  <c r="I32" i="3"/>
  <c r="I28" i="1"/>
  <c r="H90" i="1"/>
  <c r="T90" i="1" s="1"/>
  <c r="C17" i="24"/>
  <c r="C10" i="24" s="1"/>
  <c r="C24" i="24" s="1"/>
  <c r="M8" i="16"/>
  <c r="I13" i="17"/>
  <c r="H83" i="1"/>
  <c r="H80" i="1" s="1"/>
  <c r="T85" i="1"/>
  <c r="T91" i="1"/>
  <c r="T92" i="1"/>
  <c r="I32" i="1" l="1"/>
  <c r="I27" i="1" s="1"/>
  <c r="I94" i="3"/>
  <c r="J110" i="1"/>
  <c r="J118" i="1"/>
  <c r="C25" i="24"/>
  <c r="C26" i="24" s="1"/>
  <c r="P18" i="2"/>
  <c r="P15" i="2"/>
  <c r="AB15" i="2" s="1"/>
  <c r="AB64" i="2" s="1"/>
  <c r="P7" i="2"/>
  <c r="C32" i="3"/>
  <c r="I30" i="3"/>
  <c r="I38" i="3" s="1"/>
  <c r="F12" i="3" s="1"/>
  <c r="F11" i="3" s="1"/>
  <c r="F23" i="3" s="1"/>
  <c r="J123" i="1"/>
  <c r="J122" i="1" s="1"/>
  <c r="J120" i="1" s="1"/>
  <c r="J119" i="1" s="1"/>
  <c r="H41" i="1"/>
  <c r="C140" i="3"/>
  <c r="H27" i="1" l="1"/>
  <c r="T27" i="1"/>
  <c r="J134" i="1"/>
  <c r="J133" i="1" s="1"/>
  <c r="S133" i="1" s="1"/>
  <c r="J137" i="1"/>
  <c r="J136" i="1" s="1"/>
  <c r="J145" i="1" s="1"/>
  <c r="R118" i="1"/>
  <c r="J144" i="1"/>
  <c r="I111" i="3"/>
  <c r="C52" i="3" s="1"/>
  <c r="C49" i="3" s="1"/>
  <c r="C56" i="3" s="1"/>
  <c r="C94" i="3"/>
  <c r="M9" i="3"/>
  <c r="M10" i="3" s="1"/>
  <c r="P66" i="2"/>
  <c r="P65" i="2" s="1"/>
  <c r="P70" i="2" s="1"/>
  <c r="AC16" i="2"/>
  <c r="P16" i="2"/>
  <c r="P60" i="2" s="1"/>
  <c r="P58" i="2" s="1"/>
  <c r="AC58" i="2" s="1"/>
  <c r="R27" i="1"/>
  <c r="R29" i="1" s="1"/>
  <c r="I104" i="1"/>
  <c r="S122" i="1"/>
  <c r="T29" i="1" l="1"/>
  <c r="V27" i="1"/>
  <c r="W27" i="1" s="1"/>
  <c r="P69" i="2"/>
  <c r="T54" i="1" l="1"/>
  <c r="H58" i="1"/>
  <c r="H53" i="1" s="1"/>
  <c r="T59" i="1"/>
  <c r="H52" i="1" l="1"/>
  <c r="H104" i="1" s="1"/>
  <c r="M69" i="3" l="1"/>
  <c r="U29" i="1" l="1"/>
  <c r="V29" i="1" s="1"/>
  <c r="V28" i="1"/>
  <c r="W28" i="1" s="1"/>
  <c r="W29" i="1" s="1"/>
  <c r="X29" i="1" s="1"/>
  <c r="R117" i="1"/>
  <c r="S119" i="1"/>
</calcChain>
</file>

<file path=xl/comments1.xml><?xml version="1.0" encoding="utf-8"?>
<comments xmlns="http://schemas.openxmlformats.org/spreadsheetml/2006/main">
  <authors>
    <author>Шункова Ольга Николаевна</author>
  </authors>
  <commentList>
    <comment ref="M24" authorId="0" shapeId="0">
      <text>
        <r>
          <rPr>
            <b/>
            <sz val="8"/>
            <color indexed="81"/>
            <rFont val="Tahoma"/>
            <family val="2"/>
            <charset val="204"/>
          </rPr>
          <t>Шункова Ольга Николаевна:</t>
        </r>
        <r>
          <rPr>
            <sz val="8"/>
            <color indexed="81"/>
            <rFont val="Tahoma"/>
            <family val="2"/>
            <charset val="204"/>
          </rPr>
          <t xml:space="preserve">
получателей МРОТ
</t>
        </r>
      </text>
    </comment>
  </commentList>
</comments>
</file>

<file path=xl/sharedStrings.xml><?xml version="1.0" encoding="utf-8"?>
<sst xmlns="http://schemas.openxmlformats.org/spreadsheetml/2006/main" count="2395" uniqueCount="742">
  <si>
    <t>3.11. Обоснование (расчет) плановых показателей по расходам на безвозмездное перечисление организациям и физическим лицам (заполняется раздельно по источникам финансового обеспечения).</t>
  </si>
  <si>
    <t>Наименование расходов</t>
  </si>
  <si>
    <t>Код стро-ки</t>
  </si>
  <si>
    <t>(текущий финансовый год)</t>
  </si>
  <si>
    <t>(первый год планового периода)</t>
  </si>
  <si>
    <t>(второй год планового периода)</t>
  </si>
  <si>
    <t>Размер одной выплаты, руб.</t>
  </si>
  <si>
    <t>2021 г.</t>
  </si>
  <si>
    <t>Количество выплат в год</t>
  </si>
  <si>
    <t>Общая сумма выплат, руб.</t>
  </si>
  <si>
    <t>0001</t>
  </si>
  <si>
    <t>0002</t>
  </si>
  <si>
    <t>0003</t>
  </si>
  <si>
    <t>ИТОГО</t>
  </si>
  <si>
    <t>х</t>
  </si>
  <si>
    <t>3.10. Обоснование (расчет) плановых показателей по расходам на уплату налогов, сборов и иных платежей (заполняется раздельно по источникам финансового обеспечения).</t>
  </si>
  <si>
    <t>Налоговая база, руб.</t>
  </si>
  <si>
    <t>Ставка налога, %</t>
  </si>
  <si>
    <t>Сумма начисленного налога, подлежащего уплате, руб.</t>
  </si>
  <si>
    <t>Количество застрахованных сотрудников, застрахованного имущества, чел.(ед.)</t>
  </si>
  <si>
    <t>Базовые ставки страховых тарифов с учетом поправочных коэффициентов 
к ним, руб.</t>
  </si>
  <si>
    <t>Сумма, руб.</t>
  </si>
  <si>
    <t>0004</t>
  </si>
  <si>
    <t>0005</t>
  </si>
  <si>
    <t>0006</t>
  </si>
  <si>
    <t>0007</t>
  </si>
  <si>
    <t>0008</t>
  </si>
  <si>
    <t>0009</t>
  </si>
  <si>
    <t>0010</t>
  </si>
  <si>
    <t>0011</t>
  </si>
  <si>
    <t>3.13.6. Обоснование (расчет) плановых показателей по расходам на содержание имущества.</t>
  </si>
  <si>
    <t>Объект</t>
  </si>
  <si>
    <t>Количество работ (услуг)</t>
  </si>
  <si>
    <t>Раздел 3. Обоснования (расчеты) плановых показателей поступлений и выплат</t>
  </si>
  <si>
    <t>3.6. Обоснование (расчет) плановых показателей по выплатам по оплате труда работников учреждения.</t>
  </si>
  <si>
    <t>3.6.1. Обоснование (расчет) плановых показателей по выплатам по элементу вида расходов классификации расходов 
бюджетов 111 «Фонд оплаты труда учреждений» (заполняется раздельно по источникам финансового обеспечения).</t>
  </si>
  <si>
    <t>Наименование показателя</t>
  </si>
  <si>
    <t>(текущий
финансовый год)</t>
  </si>
  <si>
    <t>(первый год
планового периода)</t>
  </si>
  <si>
    <t>(второй год
планового периода)</t>
  </si>
  <si>
    <t>3</t>
  </si>
  <si>
    <t>4</t>
  </si>
  <si>
    <t>5</t>
  </si>
  <si>
    <t>Задолженность перед персоналом по оплате труда (кредиторская задолженность) на начало года</t>
  </si>
  <si>
    <t>0100</t>
  </si>
  <si>
    <t>Задолженность персонала по полученным авансам (дебиторская задолженность) на начало года</t>
  </si>
  <si>
    <t>0200</t>
  </si>
  <si>
    <t>Фонд оплаты труда</t>
  </si>
  <si>
    <t>0300</t>
  </si>
  <si>
    <t>Задолженность перед персоналом по оплате труда (кредиторская задолженность) на конец года</t>
  </si>
  <si>
    <t>0400</t>
  </si>
  <si>
    <t>Задолженность персонала по полученным авансам (дебиторская задолженность) на конец года</t>
  </si>
  <si>
    <t>0500</t>
  </si>
  <si>
    <t>Планируемые выплаты на оплату труда (с. 0100 - с. 0200 + с. 0300 - с. 0400 + 
с. 0500)</t>
  </si>
  <si>
    <t>0600</t>
  </si>
  <si>
    <t>3.6.2. Расчет фонда оплаты труда.</t>
  </si>
  <si>
    <t>Должность, группа должностей</t>
  </si>
  <si>
    <t>Установлен-ная числен-ность, единиц</t>
  </si>
  <si>
    <t>Среднемесячный размер оплаты труда на одного работника, руб.</t>
  </si>
  <si>
    <t>Фонд оплаты труда в год
(гр. 3  х  гр. 4 
х 12)</t>
  </si>
  <si>
    <t>Всего (гр. 5 + гр. 6 + гр. 7 + 
гр. 9 + гр. 11)</t>
  </si>
  <si>
    <t>в том числе:</t>
  </si>
  <si>
    <t>по должностному окладу</t>
  </si>
  <si>
    <t>по выплатам компенсацион-ного характера</t>
  </si>
  <si>
    <t>по выплатам стимулирую-щего характера</t>
  </si>
  <si>
    <t>северная надбавка</t>
  </si>
  <si>
    <t>районный коэффициент</t>
  </si>
  <si>
    <t>%</t>
  </si>
  <si>
    <t>сумма (гр. 5 + гр. 6 +
гр. 7)  х гр. 8/100</t>
  </si>
  <si>
    <t>сумма (гр. 5 + гр. 6 +
гр. 7)  х гр. 10/100</t>
  </si>
  <si>
    <t>Педагогический персонал</t>
  </si>
  <si>
    <t>Итого</t>
  </si>
  <si>
    <t>9000</t>
  </si>
  <si>
    <t>Фонд оплаты труда
 в год
(гр. 3 х гр. 4 
х 12)</t>
  </si>
  <si>
    <t>всего (гр. 5 + 
гр. 6 + гр. 7+
гр. 9 + гр. 11)</t>
  </si>
  <si>
    <t>по должност-ному окладу</t>
  </si>
  <si>
    <t>сумма 
(гр. 5 + 
гр. 6 +
гр. 7) х 
гр. 8/100</t>
  </si>
  <si>
    <t>сумма (гр. 5 + гр. 6 +
гр. 7) х 
гр. 10/100</t>
  </si>
  <si>
    <t>Фонд оплаты труда в год
(гр. 3 х гр. 4 
х 12)</t>
  </si>
  <si>
    <t>по должностно-му окладу</t>
  </si>
  <si>
    <t>сумма 
(гр. 5 + гр. 6 + 
гр. 7) х 
гр. 8/100</t>
  </si>
  <si>
    <t>сумма 
(гр. 5 + гр. 6 + 
гр. 7) х 
гр. 10/100</t>
  </si>
  <si>
    <t>3.7. Обоснование (расчет) плановых показателей по выплатам на страховые взносы по обязательному социальному страхованию.</t>
  </si>
  <si>
    <t>3.7.1. Обоснование (расчет) плановых показателей по выплатам на страховые взносы по обязательному социальному страхованию (заполняется раздельно по источникам финансового обеспечения).</t>
  </si>
  <si>
    <t>Задолженность по обязательствам (кредиторская задолженность) на начало года</t>
  </si>
  <si>
    <t>Сумма излишне уплаченных либо излишне взысканных страховых взносов (дебиторская задолженность) на начало года</t>
  </si>
  <si>
    <t>Страховые взносы на обязательное социальное страхование</t>
  </si>
  <si>
    <t>Задолженность по уплате страховых взносов (кредиторская задолженность) на конец года</t>
  </si>
  <si>
    <t>Сумма излишне уплаченных либо излишне взысканных страховых взносов (дебиторская задолженность) на конец года</t>
  </si>
  <si>
    <t>Планируемые выплаты на страховые взносы на обязательное социальное страхование (с. 0100 - с. 0200 + с. 0300 - с. 0400 + с. 0500)</t>
  </si>
  <si>
    <t>3.7.2. Расчет страховых взносов по обязательному социальному страхованию (заполняется раздельно по источникам финансового обеспечения).</t>
  </si>
  <si>
    <t>Наименование государственного внебюджетного фонда</t>
  </si>
  <si>
    <t>Размер базы для начисления страховых взносов, руб.</t>
  </si>
  <si>
    <t>Сумма взноса, руб.</t>
  </si>
  <si>
    <t>на 2022 г</t>
  </si>
  <si>
    <t>Страховые взносы в Пенсионный фонд Российской Федерации, всего</t>
  </si>
  <si>
    <t>0110</t>
  </si>
  <si>
    <t>по ставке 22,0 %</t>
  </si>
  <si>
    <t>по ставке 10,0 %</t>
  </si>
  <si>
    <t>0120</t>
  </si>
  <si>
    <t>с применением пониженных тарифов взносов в Пенсионный фонд Российской Федерации для отдельных категорий плательщиков</t>
  </si>
  <si>
    <t>0130</t>
  </si>
  <si>
    <t xml:space="preserve">Страховые взносы в Фонд социального страхования Российской Федерации, всего
</t>
  </si>
  <si>
    <t>0210</t>
  </si>
  <si>
    <t>обязательное социальное страхование на случай временной нетрудоспособности и в связи с материнством по ставке 2,9 %</t>
  </si>
  <si>
    <t>с применением ставки взносов в Фонд социального страхования Российской Федерации по ставке 0,0 %</t>
  </si>
  <si>
    <t>0220</t>
  </si>
  <si>
    <t>обязательное социальное страхование от несчастных случаев на производстве и профессиональных заболеваний по ставке 0,2 %</t>
  </si>
  <si>
    <t>0230</t>
  </si>
  <si>
    <t>обязательное социальное страхование от несчастных случаев на производстве и профессиональных заболеваний по ставке ____ % *</t>
  </si>
  <si>
    <t>0240</t>
  </si>
  <si>
    <t>обязательное социальное страхование от несчастных случаев 
на производстве и профессиональных заболеваний по 
ставке ____ % *</t>
  </si>
  <si>
    <t xml:space="preserve">Страховые взносы в Федеральный фонд обязательного медицинского страхования, всего
</t>
  </si>
  <si>
    <t>0310</t>
  </si>
  <si>
    <t>страховые взносы на обязательное медицинское страхование 
по ставке 5,1 %</t>
  </si>
  <si>
    <t>* Указываются страховые тарифы, дифференцированные по классам профессионального риска, установленные Федеральным законом от 22.12.2005 № 179-ФЗ  «О страховых тарифах на обязательное социальное страхование от несчастных случаев на производстве и профессиональных заболеваний на 2006 год».</t>
  </si>
  <si>
    <t>Административный персонал</t>
  </si>
  <si>
    <t>Учебно-вспомогательный персонал</t>
  </si>
  <si>
    <t>3.8.1. Обоснование (расчет) выплат персоналу при направлении в служебные командировки (заполняется раздельно по источникам финансового обеспечения).</t>
  </si>
  <si>
    <t>Средний размер выплаты на одного работника в день, руб.</t>
  </si>
  <si>
    <t>Количество работников, чел.</t>
  </si>
  <si>
    <t>Количество дней, дн.</t>
  </si>
  <si>
    <t>(текущий финансо-вый год)</t>
  </si>
  <si>
    <t>(первый год пла-нового периода)</t>
  </si>
  <si>
    <t>(второй год пла-нового периода)</t>
  </si>
  <si>
    <t>Численность работников, получающих пособие, чел.</t>
  </si>
  <si>
    <t>Количество выплат в год на одного работника, шт.</t>
  </si>
  <si>
    <t>Размер выплаты (пособия) в месяц, руб.</t>
  </si>
  <si>
    <t>3.13.1. Обоснование (расчет) плановых показателей по расходам на закупки товаров, работ и услуг.</t>
  </si>
  <si>
    <t>Код строки</t>
  </si>
  <si>
    <t>Произведенные предварительные платежи (авансы) по контрактам (договорам) (дебиторская задолженность) на начало года</t>
  </si>
  <si>
    <t>Расходы на закупку товаров, работ и услуг, всего</t>
  </si>
  <si>
    <t>в том числе:
субсидии на финансовое обеспечение выполнения муниципального задания</t>
  </si>
  <si>
    <t>услуги связи</t>
  </si>
  <si>
    <t>транспортные услуги</t>
  </si>
  <si>
    <t>коммунальные услуги</t>
  </si>
  <si>
    <t>аренда имущества</t>
  </si>
  <si>
    <t>содержание имущества</t>
  </si>
  <si>
    <t>оплата услуг и работ (медицинских осмотров, информационных услуг, консультационных услуг, экспертных услуг, научно-исследовательских работ, типографских работ) не указанных выше</t>
  </si>
  <si>
    <t>приобретение материальных запасов</t>
  </si>
  <si>
    <t>Произведенные предварительные платежи (авансы) по контрактам (договорам) (дебиторская задолженность) на конец года</t>
  </si>
  <si>
    <t>3.13.2. Обоснование (расчет) плановых показателей по расходам на услуги связи.</t>
  </si>
  <si>
    <t>Количество номеров, ед.</t>
  </si>
  <si>
    <t>Количество платежей в год</t>
  </si>
  <si>
    <t>Стоимость за единицу, руб.</t>
  </si>
  <si>
    <t>Оплата услуг местной и междугородней телефонной связи</t>
  </si>
  <si>
    <t>Оплата за подключение к глобальной информационной сети Интернет, абонентская плата</t>
  </si>
  <si>
    <t>3.13.3. Обоснование (расчет) плановых показателей по расходам на транспортные услуги.</t>
  </si>
  <si>
    <t>Количество услуг перевозки</t>
  </si>
  <si>
    <t>Цена услуги перевозки, руб.</t>
  </si>
  <si>
    <t>3.13.4. Обоснование (расчет) плановых показателей по расходам на коммунальные услуги.</t>
  </si>
  <si>
    <t>Расчетное потребление ресурсов</t>
  </si>
  <si>
    <t>Тариф (с учетом НДС), руб.</t>
  </si>
  <si>
    <t>Вода хол. (м3)</t>
  </si>
  <si>
    <t>Обращение с ТКО</t>
  </si>
  <si>
    <t xml:space="preserve">Всего (гр. 5 + гр. 6 + гр. 7 + 
гр. 9 + гр. 11) </t>
  </si>
  <si>
    <t>Обслуживающий персонал</t>
  </si>
  <si>
    <t>3.6.1. Обоснование (расчет) плановых показателей по выплатам по элементу вида расходов классификации расходов бюджетов 111 «Фонд оплаты труда учреждений» (заполняется раздельно по источникам финансового обеспечения).</t>
  </si>
  <si>
    <t>УТВЕРЖДАЮ</t>
  </si>
  <si>
    <t>(подпись)</t>
  </si>
  <si>
    <t>(расшифровка подписи)</t>
  </si>
  <si>
    <t>Коды</t>
  </si>
  <si>
    <t>Дата</t>
  </si>
  <si>
    <t>Главное управление образования администрация города Красноярска</t>
  </si>
  <si>
    <t>по Сводному реестру</t>
  </si>
  <si>
    <t>глава по БК</t>
  </si>
  <si>
    <t>912</t>
  </si>
  <si>
    <t>ИНН</t>
  </si>
  <si>
    <t>Учреждение:</t>
  </si>
  <si>
    <t>КПП</t>
  </si>
  <si>
    <t>Единица измерения: руб.</t>
  </si>
  <si>
    <t>по ОКЕИ</t>
  </si>
  <si>
    <t>383</t>
  </si>
  <si>
    <t>Раздел 1. Поступления и выплаты</t>
  </si>
  <si>
    <r>
      <t xml:space="preserve">Код по бюджет-ной класси-фикации Россий-ской Федера-ции </t>
    </r>
    <r>
      <rPr>
        <vertAlign val="superscript"/>
        <sz val="10"/>
        <rFont val="Times New Roman"/>
        <family val="1"/>
        <charset val="204"/>
      </rPr>
      <t>3</t>
    </r>
  </si>
  <si>
    <r>
      <t xml:space="preserve">Сумма, руб. (с точностью до двух знаков плосле запятой </t>
    </r>
    <r>
      <rPr>
        <sz val="10"/>
        <rFont val="Calibri"/>
        <family val="2"/>
        <charset val="204"/>
      </rPr>
      <t>–</t>
    </r>
    <r>
      <rPr>
        <sz val="10"/>
        <rFont val="Times New Roman"/>
        <family val="1"/>
        <charset val="204"/>
      </rPr>
      <t xml:space="preserve"> 0,00)</t>
    </r>
  </si>
  <si>
    <t>за пределами планового периода</t>
  </si>
  <si>
    <t>текущий финансовый год</t>
  </si>
  <si>
    <t>первый год планового периода</t>
  </si>
  <si>
    <t>второй год планового периода</t>
  </si>
  <si>
    <r>
      <t xml:space="preserve">Остаток средств на начало текущего финансового года </t>
    </r>
    <r>
      <rPr>
        <vertAlign val="superscript"/>
        <sz val="10"/>
        <rFont val="Times New Roman"/>
        <family val="1"/>
        <charset val="204"/>
      </rPr>
      <t>4</t>
    </r>
  </si>
  <si>
    <t>-</t>
  </si>
  <si>
    <r>
      <t xml:space="preserve">Остаток средств на конец текущего финансового года </t>
    </r>
    <r>
      <rPr>
        <vertAlign val="superscript"/>
        <sz val="10"/>
        <rFont val="Times New Roman"/>
        <family val="1"/>
        <charset val="204"/>
      </rPr>
      <t>4</t>
    </r>
  </si>
  <si>
    <t>Доходы, всего:</t>
  </si>
  <si>
    <t>1000</t>
  </si>
  <si>
    <t>1100</t>
  </si>
  <si>
    <t>120</t>
  </si>
  <si>
    <t>1110</t>
  </si>
  <si>
    <t>доходы в виде процентов по депозитам автономных учреждений в кредитных организациях</t>
  </si>
  <si>
    <t>1120</t>
  </si>
  <si>
    <t>доходы в виде процентов по остаткам средств на счетах автономных учреждений в кредитных организациях</t>
  </si>
  <si>
    <t>1130</t>
  </si>
  <si>
    <t>доходы от оказания услуг, работ, компенсации затрат учреждений, всего</t>
  </si>
  <si>
    <t>1200</t>
  </si>
  <si>
    <t>130</t>
  </si>
  <si>
    <t>1210</t>
  </si>
  <si>
    <t>доходы от оказания услуг, выполнения работ, в рамках установленного муниципального задания</t>
  </si>
  <si>
    <t>1220</t>
  </si>
  <si>
    <t>доходы от оказания услуг, выполнения работ, за плату сверх установленного муниципального задания и иной приносящей доход деятельности, предусмотренной уставом учреждения</t>
  </si>
  <si>
    <t>1230</t>
  </si>
  <si>
    <t>доходы, поступающие в порядке возмещения расходов, понесенных в связи с эксплуатацией имущества, находящегося в оперативном управлении учреждения</t>
  </si>
  <si>
    <t>1240</t>
  </si>
  <si>
    <t>родительская плата</t>
  </si>
  <si>
    <t>1250</t>
  </si>
  <si>
    <t>доходы от штрафов, пеней, иных сумм принудительного изъятия, всего</t>
  </si>
  <si>
    <t>1300</t>
  </si>
  <si>
    <t>140</t>
  </si>
  <si>
    <t>1310</t>
  </si>
  <si>
    <t>безвозмездные денежные поступления, всего</t>
  </si>
  <si>
    <t>1400</t>
  </si>
  <si>
    <t>150</t>
  </si>
  <si>
    <t>прочие доходы, всего</t>
  </si>
  <si>
    <t>1500</t>
  </si>
  <si>
    <t>1510</t>
  </si>
  <si>
    <t>субсидии на осуществление капитальных вложений</t>
  </si>
  <si>
    <t>доходы от операций с активами, всего</t>
  </si>
  <si>
    <t>1900</t>
  </si>
  <si>
    <r>
      <t xml:space="preserve">прочие поступления, всего </t>
    </r>
    <r>
      <rPr>
        <vertAlign val="superscript"/>
        <sz val="10"/>
        <rFont val="Times New Roman"/>
        <family val="1"/>
        <charset val="204"/>
      </rPr>
      <t>5</t>
    </r>
  </si>
  <si>
    <t>1980</t>
  </si>
  <si>
    <t>1981</t>
  </si>
  <si>
    <t>510</t>
  </si>
  <si>
    <t>Расходы, всего</t>
  </si>
  <si>
    <t>2000</t>
  </si>
  <si>
    <t>в том числе:
на выплаты персоналу, всего</t>
  </si>
  <si>
    <t>2100</t>
  </si>
  <si>
    <t>в том числе:
оплата труда</t>
  </si>
  <si>
    <t>2110</t>
  </si>
  <si>
    <t>111</t>
  </si>
  <si>
    <t>прочие выплаты персоналу, в том числе компенсационного характера</t>
  </si>
  <si>
    <t>2120</t>
  </si>
  <si>
    <t>112</t>
  </si>
  <si>
    <t>иные выплаты, за исключением фонда оплаты труда учреждения, для выполнения отдельных полномочий</t>
  </si>
  <si>
    <t>2130</t>
  </si>
  <si>
    <t>113</t>
  </si>
  <si>
    <t>взносы по обязательному социальному страхованию на выплаты по оплате труда работников и иные выплаты работникам учреждений, всего</t>
  </si>
  <si>
    <t>2140</t>
  </si>
  <si>
    <t>119</t>
  </si>
  <si>
    <t>в том числе:
на выплаты по оплате труда</t>
  </si>
  <si>
    <t>2141</t>
  </si>
  <si>
    <t>на иные выплаты работникам</t>
  </si>
  <si>
    <t>2142</t>
  </si>
  <si>
    <t>социальные и иные выплаты населению, всего</t>
  </si>
  <si>
    <t>2200</t>
  </si>
  <si>
    <t>300</t>
  </si>
  <si>
    <t>в том числе:
социальные выплаты гражданам, кроме публичных нормативных социальных выплат</t>
  </si>
  <si>
    <t>2210</t>
  </si>
  <si>
    <t>320</t>
  </si>
  <si>
    <t>из них:
пособия, компенсации и иные социальные выплаты гражданам, кроме публичных нормативных обязательств</t>
  </si>
  <si>
    <t>2211</t>
  </si>
  <si>
    <t>321</t>
  </si>
  <si>
    <t>выплата стипендий, осуществление иных расходов на социальную поддержку обучающихся за счет средств стипендиального фонда</t>
  </si>
  <si>
    <t>2220</t>
  </si>
  <si>
    <t>340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</si>
  <si>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</si>
  <si>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</si>
  <si>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</si>
  <si>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2240</t>
  </si>
  <si>
    <t>360</t>
  </si>
  <si>
    <t>уплата налогов, сборов и иных платежей, всего</t>
  </si>
  <si>
    <t>2300</t>
  </si>
  <si>
    <t>850</t>
  </si>
  <si>
    <t>из них:
налог на имущество организаций и земельный налог</t>
  </si>
  <si>
    <t>2310</t>
  </si>
  <si>
    <t>851</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</si>
  <si>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</si>
  <si>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</si>
  <si>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</si>
  <si>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</si>
  <si>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</si>
  <si>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</si>
  <si>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</si>
  <si>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</si>
  <si>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2410</t>
  </si>
  <si>
    <t>взносы в международные организации</t>
  </si>
  <si>
    <t>2420</t>
  </si>
  <si>
    <t>2430</t>
  </si>
  <si>
    <t>прочие выплаты (кроме выплат на закупку товаров, работ, услуг)</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</si>
  <si>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</si>
  <si>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</si>
  <si>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</si>
  <si>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</si>
  <si>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r>
      <t xml:space="preserve">расходы на закупку товаров, работ, услуг, всего </t>
    </r>
    <r>
      <rPr>
        <vertAlign val="superscript"/>
        <sz val="10"/>
        <rFont val="Times New Roman"/>
        <family val="1"/>
        <charset val="204"/>
      </rPr>
      <t>6</t>
    </r>
  </si>
  <si>
    <t>2600</t>
  </si>
  <si>
    <t>2610</t>
  </si>
  <si>
    <t>241</t>
  </si>
  <si>
    <t>закупку товаров, работ, услуг в целях капитального ремонта муниципального имущества</t>
  </si>
  <si>
    <t>2630</t>
  </si>
  <si>
    <t>243</t>
  </si>
  <si>
    <t>прочую закупку товаров, работ и услуг, всего</t>
  </si>
  <si>
    <t>2640</t>
  </si>
  <si>
    <t>244</t>
  </si>
  <si>
    <t>из них:</t>
  </si>
  <si>
    <t>Услуги связи</t>
  </si>
  <si>
    <t>2641</t>
  </si>
  <si>
    <t>Транспортные услуги</t>
  </si>
  <si>
    <t>2642</t>
  </si>
  <si>
    <t>Коммунальные услуги</t>
  </si>
  <si>
    <t>2643</t>
  </si>
  <si>
    <t>Работы, услуги по содержанию имущества</t>
  </si>
  <si>
    <t>2644</t>
  </si>
  <si>
    <t>Прочие услуги</t>
  </si>
  <si>
    <t>2645</t>
  </si>
  <si>
    <t>Страхование</t>
  </si>
  <si>
    <t>2646</t>
  </si>
  <si>
    <t>Увеличение стоимости основных средств</t>
  </si>
  <si>
    <t>2647</t>
  </si>
  <si>
    <t>Увеличение стоимости материальных запасов</t>
  </si>
  <si>
    <t>2648</t>
  </si>
  <si>
    <t>капитальные вложения в объекты муниципальной собственности, всего</t>
  </si>
  <si>
    <t>2650</t>
  </si>
  <si>
    <t>400</t>
  </si>
  <si>
    <t>2651</t>
  </si>
  <si>
    <t>406</t>
  </si>
  <si>
    <t>строительство (реконструкция) объектов недвижимого имущества муниципальными учреждениями</t>
  </si>
  <si>
    <t>2652</t>
  </si>
  <si>
    <t>407</t>
  </si>
  <si>
    <r>
      <t xml:space="preserve">Выплаты, уменьшающие доход, всего </t>
    </r>
    <r>
      <rPr>
        <vertAlign val="superscript"/>
        <sz val="10"/>
        <rFont val="Times New Roman"/>
        <family val="1"/>
        <charset val="204"/>
      </rPr>
      <t>7</t>
    </r>
  </si>
  <si>
    <t>3000</t>
  </si>
  <si>
    <t>100</t>
  </si>
  <si>
    <t>3010</t>
  </si>
  <si>
    <r>
      <t xml:space="preserve">налог на добавленную стоимость </t>
    </r>
    <r>
      <rPr>
        <vertAlign val="superscript"/>
        <sz val="10"/>
        <rFont val="Times New Roman"/>
        <family val="1"/>
        <charset val="204"/>
      </rPr>
      <t>7</t>
    </r>
  </si>
  <si>
    <t>3020</t>
  </si>
  <si>
    <r>
      <t xml:space="preserve">прочие налоги, уменьшающие доход </t>
    </r>
    <r>
      <rPr>
        <vertAlign val="superscript"/>
        <sz val="10"/>
        <rFont val="Times New Roman"/>
        <family val="1"/>
        <charset val="204"/>
      </rPr>
      <t>7</t>
    </r>
  </si>
  <si>
    <t>3030</t>
  </si>
  <si>
    <r>
      <t xml:space="preserve">Прочие выплаты, всего </t>
    </r>
    <r>
      <rPr>
        <vertAlign val="superscript"/>
        <sz val="10"/>
        <rFont val="Times New Roman"/>
        <family val="1"/>
        <charset val="204"/>
      </rPr>
      <t>8</t>
    </r>
  </si>
  <si>
    <t>4000</t>
  </si>
  <si>
    <t>из них:
возврат в бюджет средств субсидии</t>
  </si>
  <si>
    <t>4010</t>
  </si>
  <si>
    <t>610</t>
  </si>
  <si>
    <t>№
п/п</t>
  </si>
  <si>
    <t>Коды
строк</t>
  </si>
  <si>
    <t>Сумма</t>
  </si>
  <si>
    <t>за предела-ми плано-вого периода</t>
  </si>
  <si>
    <t>(первый год плано-вого периода)</t>
  </si>
  <si>
    <t>(второй год плано-вого периода)</t>
  </si>
  <si>
    <t>1</t>
  </si>
  <si>
    <t>2</t>
  </si>
  <si>
    <t>6</t>
  </si>
  <si>
    <t>7</t>
  </si>
  <si>
    <t>8</t>
  </si>
  <si>
    <r>
      <t xml:space="preserve">Выплаты на закупку товаров, работ, услуг, всего </t>
    </r>
    <r>
      <rPr>
        <vertAlign val="superscript"/>
        <sz val="10"/>
        <rFont val="Times New Roman"/>
        <family val="1"/>
        <charset val="204"/>
      </rPr>
      <t>10</t>
    </r>
  </si>
  <si>
    <t>26000</t>
  </si>
  <si>
    <t>1.1</t>
  </si>
  <si>
    <r>
      <t xml:space="preserve">в том числе:
по контрактам (договорам), заключенным до начала текущего финансового года без применения норм Федерального закона 
от 05.04.2013 № 44-ФЗ «О контрактной системе в сфере закупок товаров, работ, услуг для обеспечения государственных 
и муниципальных нужд» (далее </t>
    </r>
    <r>
      <rPr>
        <sz val="10"/>
        <rFont val="Calibri"/>
        <family val="2"/>
        <charset val="204"/>
      </rPr>
      <t>–</t>
    </r>
    <r>
      <rPr>
        <sz val="10"/>
        <rFont val="Times New Roman"/>
        <family val="1"/>
        <charset val="204"/>
      </rPr>
      <t xml:space="preserve"> Федеральный закон № 44-ФЗ) 
и Федерального закона от 18.07.2011 № 223-ФЗ «О закупках товаров, работ, услуг отдельными видами юридических лиц» (далее </t>
    </r>
    <r>
      <rPr>
        <sz val="10"/>
        <rFont val="Calibri"/>
        <family val="2"/>
        <charset val="204"/>
      </rPr>
      <t>–</t>
    </r>
    <r>
      <rPr>
        <sz val="10"/>
        <rFont val="Times New Roman"/>
        <family val="1"/>
        <charset val="204"/>
      </rPr>
      <t xml:space="preserve"> Федеральный закон № 223-ФЗ)</t>
    </r>
    <r>
      <rPr>
        <vertAlign val="superscript"/>
        <sz val="10"/>
        <rFont val="Times New Roman"/>
        <family val="1"/>
        <charset val="204"/>
      </rPr>
      <t>11</t>
    </r>
  </si>
  <si>
    <t>26100</t>
  </si>
  <si>
    <t>1.2</t>
  </si>
  <si>
    <r>
      <t xml:space="preserve">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t>
    </r>
    <r>
      <rPr>
        <vertAlign val="superscript"/>
        <sz val="10"/>
        <rFont val="Times New Roman"/>
        <family val="1"/>
        <charset val="204"/>
      </rPr>
      <t>11</t>
    </r>
  </si>
  <si>
    <t>26200</t>
  </si>
  <si>
    <t>1.3</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</si>
  <si>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t>
    </r>
    <r>
      <rPr>
        <vertAlign val="superscript"/>
        <sz val="10"/>
        <rFont val="Times New Roman"/>
        <family val="1"/>
        <charset val="204"/>
      </rPr>
      <t>12</t>
    </r>
  </si>
  <si>
    <t>26300</t>
  </si>
  <si>
    <t>1.4</t>
  </si>
  <si>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t>
    </r>
    <r>
      <rPr>
        <vertAlign val="superscript"/>
        <sz val="10"/>
        <rFont val="Times New Roman"/>
        <family val="1"/>
        <charset val="204"/>
      </rPr>
      <t>12</t>
    </r>
  </si>
  <si>
    <t>26400</t>
  </si>
  <si>
    <t>1.4.1</t>
  </si>
  <si>
    <t>26410</t>
  </si>
  <si>
    <t>1.4.1.1</t>
  </si>
  <si>
    <t>в том числе:
в соответствии с Федеральным законом № 44-ФЗ</t>
  </si>
  <si>
    <t>26411</t>
  </si>
  <si>
    <t>1.4.1.2</t>
  </si>
  <si>
    <r>
      <t xml:space="preserve">в соответствии с Федеральным законом № 223-ФЗ </t>
    </r>
    <r>
      <rPr>
        <vertAlign val="superscript"/>
        <sz val="10"/>
        <rFont val="Times New Roman"/>
        <family val="1"/>
        <charset val="204"/>
      </rPr>
      <t>13</t>
    </r>
  </si>
  <si>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</si>
  <si>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</si>
  <si>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</si>
  <si>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</si>
  <si>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</si>
  <si>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</si>
  <si>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t>1.4.2.2</t>
  </si>
  <si>
    <t>1.4.3</t>
  </si>
  <si>
    <r>
      <t xml:space="preserve">за счет субсидий, предоставляемых на осуществление капитальных 
вложений </t>
    </r>
    <r>
      <rPr>
        <vertAlign val="superscript"/>
        <sz val="10"/>
        <rFont val="Times New Roman"/>
        <family val="1"/>
        <charset val="204"/>
      </rPr>
      <t>14</t>
    </r>
  </si>
  <si>
    <t>26430</t>
  </si>
  <si>
    <t>1.4.4</t>
  </si>
  <si>
    <t>за счет прочих источников финансового обеспечения</t>
  </si>
  <si>
    <t>26450</t>
  </si>
  <si>
    <t>1.4.4.1</t>
  </si>
  <si>
    <t>26451</t>
  </si>
  <si>
    <t>1.4.4.2</t>
  </si>
  <si>
    <t>26452</t>
  </si>
  <si>
    <r>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r>
    <r>
      <rPr>
        <vertAlign val="superscript"/>
        <sz val="10"/>
        <rFont val="Times New Roman"/>
        <family val="1"/>
        <charset val="204"/>
      </rPr>
      <t>15</t>
    </r>
  </si>
  <si>
    <t>26500</t>
  </si>
  <si>
    <t>в том числе по году начала закупки:</t>
  </si>
  <si>
    <t>26510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</si>
  <si>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</si>
  <si>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</si>
  <si>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</si>
  <si>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СОГЛАСОВАНО</t>
  </si>
  <si>
    <t>(наименование должности уполномоченного лица органа-учредителя)</t>
  </si>
  <si>
    <r>
      <t>_____</t>
    </r>
    <r>
      <rPr>
        <vertAlign val="superscript"/>
        <sz val="10"/>
        <rFont val="Times New Roman"/>
        <family val="1"/>
        <charset val="204"/>
      </rPr>
      <t>10</t>
    </r>
    <r>
      <rPr>
        <sz val="10"/>
        <color indexed="9"/>
        <rFont val="Times New Roman"/>
        <family val="1"/>
        <charset val="204"/>
      </rPr>
      <t>_</t>
    </r>
    <r>
      <rPr>
        <sz val="10"/>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</si>
  <si>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_____</t>
    </r>
    <r>
      <rPr>
        <vertAlign val="superscript"/>
        <sz val="10"/>
        <rFont val="Times New Roman"/>
        <family val="1"/>
        <charset val="204"/>
      </rPr>
      <t>11</t>
    </r>
    <r>
      <rPr>
        <sz val="10"/>
        <color indexed="9"/>
        <rFont val="Times New Roman"/>
        <family val="1"/>
        <charset val="204"/>
      </rPr>
      <t>_</t>
    </r>
    <r>
      <rPr>
        <sz val="10"/>
        <rFont val="Times New Roman"/>
        <family val="1"/>
        <charset val="204"/>
      </rPr>
      <t>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</si>
  <si>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_____</t>
    </r>
    <r>
      <rPr>
        <vertAlign val="superscript"/>
        <sz val="10"/>
        <rFont val="Times New Roman"/>
        <family val="1"/>
        <charset val="204"/>
      </rPr>
      <t>12</t>
    </r>
    <r>
      <rPr>
        <sz val="10"/>
        <color indexed="9"/>
        <rFont val="Times New Roman"/>
        <family val="1"/>
        <charset val="204"/>
      </rPr>
      <t>_</t>
    </r>
    <r>
      <rPr>
        <sz val="10"/>
        <rFont val="Times New Roman"/>
        <family val="1"/>
        <charset val="204"/>
      </rPr>
      <t>Указывается сумма закупок товаров, работ, услуг, осуществляемых в соответствии с Федеральным законом № 44-ФЗ и Федеральным законом № 223-ФЗ.</t>
    </r>
  </si>
  <si>
    <r>
      <t>_____</t>
    </r>
    <r>
      <rPr>
        <vertAlign val="superscript"/>
        <sz val="10"/>
        <rFont val="Times New Roman"/>
        <family val="1"/>
        <charset val="204"/>
      </rPr>
      <t>13</t>
    </r>
    <r>
      <rPr>
        <sz val="10"/>
        <color indexed="9"/>
        <rFont val="Times New Roman"/>
        <family val="1"/>
        <charset val="204"/>
      </rPr>
      <t>_</t>
    </r>
    <r>
      <rPr>
        <sz val="10"/>
        <rFont val="Times New Roman"/>
        <family val="1"/>
        <charset val="204"/>
      </rPr>
      <t>Государственным (муниципальным) бюджетным учреждением показатель не формируется.</t>
    </r>
  </si>
  <si>
    <r>
      <t>_____</t>
    </r>
    <r>
      <rPr>
        <vertAlign val="superscript"/>
        <sz val="10"/>
        <rFont val="Times New Roman"/>
        <family val="1"/>
        <charset val="204"/>
      </rPr>
      <t>14</t>
    </r>
    <r>
      <rPr>
        <sz val="10"/>
        <color indexed="9"/>
        <rFont val="Times New Roman"/>
        <family val="1"/>
        <charset val="204"/>
      </rPr>
      <t>_</t>
    </r>
    <r>
      <rPr>
        <sz val="10"/>
        <rFont val="Times New Roman"/>
        <family val="1"/>
        <charset val="204"/>
      </rPr>
      <t>Указывается сумма закупок товаров, работ, услуг, осуществляемых в соответствии с Федеральным законом № 44-ФЗ.</t>
    </r>
  </si>
  <si>
    <r>
      <t>_____</t>
    </r>
    <r>
      <rPr>
        <vertAlign val="superscript"/>
        <sz val="10"/>
        <rFont val="Times New Roman"/>
        <family val="1"/>
        <charset val="204"/>
      </rPr>
      <t>15</t>
    </r>
    <r>
      <rPr>
        <sz val="10"/>
        <color indexed="9"/>
        <rFont val="Times New Roman"/>
        <family val="1"/>
        <charset val="204"/>
      </rPr>
      <t>_</t>
    </r>
    <r>
      <rPr>
        <sz val="10"/>
        <rFont val="Times New Roman"/>
        <family val="1"/>
        <charset val="204"/>
      </rPr>
      <t xml:space="preserve">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t>
    </r>
    <r>
      <rPr>
        <sz val="10"/>
        <rFont val="Symbol"/>
        <family val="1"/>
        <charset val="2"/>
      </rPr>
      <t>-</t>
    </r>
    <r>
      <rPr>
        <sz val="10"/>
        <rFont val="Times New Roman"/>
        <family val="1"/>
        <charset val="204"/>
      </rPr>
      <t xml:space="preserve"> не менее показателя строки 26430 по соответствующей графе.</t>
    </r>
  </si>
  <si>
    <t>(наименование должности лица, утверждающего документ)</t>
  </si>
  <si>
    <t>Орган, осуществляющий функции и полномочия учредителя</t>
  </si>
  <si>
    <t>поступления 
от приносящей доход деятельности</t>
  </si>
  <si>
    <t>субсидии</t>
  </si>
  <si>
    <t>в том числе: доходы, получаемые в виде арендной либо иной платы за передачу в возмездное пользование муниципального имущества</t>
  </si>
  <si>
    <r>
      <t>_____</t>
    </r>
    <r>
      <rPr>
        <vertAlign val="superscript"/>
        <sz val="10"/>
        <rFont val="Times New Roman"/>
        <family val="1"/>
        <charset val="204"/>
      </rPr>
      <t>9</t>
    </r>
    <r>
      <rPr>
        <sz val="10"/>
        <color indexed="9"/>
        <rFont val="Times New Roman"/>
        <family val="1"/>
        <charset val="204"/>
      </rPr>
      <t>_</t>
    </r>
    <r>
      <rPr>
        <sz val="10"/>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</si>
  <si>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t>Год
начала закупки</t>
  </si>
  <si>
    <t>Страховые взносы в Фонд социального страхования Российской Федерации, всего</t>
  </si>
  <si>
    <t>0702 0220075640  Транспортные услуги</t>
  </si>
  <si>
    <t>0702 0220074090 Транспортные услуги</t>
  </si>
  <si>
    <t>0702 0220000610 Транспортные услуги</t>
  </si>
  <si>
    <t>Обслуживание столбов наружного освещения</t>
  </si>
  <si>
    <t>Зарядка огнетушителей</t>
  </si>
  <si>
    <t>Обслуживание и ремонт оборудования и мебели</t>
  </si>
  <si>
    <t>3.13.7. Обоснование (расчет) плановых показателей на оплату прочих работ, услуг</t>
  </si>
  <si>
    <t>Страхование автотранспорта</t>
  </si>
  <si>
    <t>* Указываются страховые тарифы, дифференцированные по классам профессионального риска, установленные Федеральным законом от 22.12.2005 № 179-ФЗ «О страховых тарифах на обязательное социальное страхование от несчастных случаев на производстве и профессиональных заболеваний на 2006 год».</t>
  </si>
  <si>
    <t>3.1. Обоснование (расчет) плановых показателей поступлений доходов по статье 120 «Доходы от собственности».</t>
  </si>
  <si>
    <t>3.1.1. Обоснование (расчет) плановых показателей поступлений доходов по статье 120 «Доходы от собственности».</t>
  </si>
  <si>
    <t>Задолженность по доходам (дебиторская задолженность по доходам) на начало года</t>
  </si>
  <si>
    <t>Полученные предварительные платежи (авансы) по контрактам (договорам) (кредиторская задолженность по доходам) на начало года</t>
  </si>
  <si>
    <t>Доходы от собственности, всего</t>
  </si>
  <si>
    <t>плата по соглашениям об установлении сервитута</t>
  </si>
  <si>
    <t>0320</t>
  </si>
  <si>
    <t>0330</t>
  </si>
  <si>
    <t>0340</t>
  </si>
  <si>
    <t>проценты, полученные от предоставления займов</t>
  </si>
  <si>
    <t>0350</t>
  </si>
  <si>
    <t>проценты по иным фиансовым инструментам</t>
  </si>
  <si>
    <t>0360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</si>
  <si>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учреждению</t>
  </si>
  <si>
    <t>0370</t>
  </si>
  <si>
    <t>доходы от распоряжения правами на результаты интелектуальной деятельности и средствами индивидуализации</t>
  </si>
  <si>
    <t>0380</t>
  </si>
  <si>
    <t>прочие поступления от использования имущества, находящегося 
в оперативном управлении учреждения</t>
  </si>
  <si>
    <t>0390</t>
  </si>
  <si>
    <t>Задолженность по доходам (дебиторская задолженность по доходам) на конец года</t>
  </si>
  <si>
    <t>Полученные предварительные платежи (авансы) по контрактам (договорам) (кредиторская задолженность по доходам) на конец года</t>
  </si>
  <si>
    <t>Планируемые поступления доходов от собственности
(с. 0100 - с. 0200 + с. 0300 - с. 0400 + с. 0500)</t>
  </si>
  <si>
    <t>3.1.2. Расчет доходов в виде арендной либо иной платы за передачу в возмездное пользование муниципального имущества.</t>
  </si>
  <si>
    <t>Наименование объекта</t>
  </si>
  <si>
    <t>Плата (тариф) арендной платы за единицу площади (объект), руб.</t>
  </si>
  <si>
    <t>Планируемый объем предоставления имущества в аренду (в натуральных показателях)</t>
  </si>
  <si>
    <t>Объем планируемых поступлений, руб.</t>
  </si>
  <si>
    <t>Недвижимое имущество, всего</t>
  </si>
  <si>
    <t>в том числе</t>
  </si>
  <si>
    <t>0101</t>
  </si>
  <si>
    <t>Движимое имущество, всего</t>
  </si>
  <si>
    <t>0201</t>
  </si>
  <si>
    <t>3.2. Обоснование (расчет) плановых показателей поступлений доходов по статье 130 «Доходы от оказания услуг, работ, компенсации затрат учреждений».</t>
  </si>
  <si>
    <t>3.2.1. Обоснование (расчет) плановых показателей поступлений доходов по статье 130 «Доходы от оказания услуг, работ, компенсации затрат учреждений».</t>
  </si>
  <si>
    <t>Доходы от оказания услуг, работ, компенсации затрат учреждений, всего</t>
  </si>
  <si>
    <t>доходы от оказания услуг, выполнения работ в рамках установленного муниципального задания</t>
  </si>
  <si>
    <t>доходы от оказания услуг, выполнения работ за плату сверх установленного муниципального задания и иной приносящей доход деятельности, предусмотренной уставом учреждения</t>
  </si>
  <si>
    <t>Планируемые поступления доходов от оказания услуг, компенсации затрат учреждения (с. 0100 - с. 0200 + с. 0300 - с. 0400  +с. 0500)</t>
  </si>
  <si>
    <t>3.2.2. Расчет доходов в виде субсидии на финансовое обеспечение выполнения муниципального задания.</t>
  </si>
  <si>
    <t>Наименование
 показателя</t>
  </si>
  <si>
    <t>Плата (тариф) за единицу услуги (работы), руб.</t>
  </si>
  <si>
    <t>Планируемый объем оказания услуг (выполнения работ)</t>
  </si>
  <si>
    <t>Общий объем планируемых поступлений, руб.</t>
  </si>
  <si>
    <t>3.2.4. Расчет доходов от оказания услуг, выполнения работ за плату сверх установленного муниципального задания и иной приносящей доход деятельности, предусмотренной уставом учреждения.</t>
  </si>
  <si>
    <t>3.2.5. Расчет доходов, поступающих в порядке возмещения расходов, понесенных в связи с эксплуатацией имущества, находящегося в оперативном управлении учреждения.</t>
  </si>
  <si>
    <t>Вид возмещаемых расходов</t>
  </si>
  <si>
    <t xml:space="preserve">Объем услуг, планируемый к возмещению </t>
  </si>
  <si>
    <t>3.4. Обоснование (расчет) плановых показателей поступлений доходов по статье 180 «Прочие доходы».</t>
  </si>
  <si>
    <t>3.4.1. Обоснование (расчет) плановых показателей поступлений доходов по статье 180 «Прочие доходы».</t>
  </si>
  <si>
    <t>Доходы прочие, всего</t>
  </si>
  <si>
    <t>целевые субсидии</t>
  </si>
  <si>
    <t>Планируемые поступления доходов от оказания услуг, компенсации затрат учреждения (с. 0100 - с. 0200 + с. 0300 - с. 0400 + с. 0500)</t>
  </si>
  <si>
    <t xml:space="preserve">в том числе:  доходы, получаемые в виде арендной либо иной платы за передачу 
в возмездное пользование муниципального имущества
</t>
  </si>
  <si>
    <t>помещения</t>
  </si>
  <si>
    <t>Реализация основных общеобразовательных программ начального общего образования</t>
  </si>
  <si>
    <t>Реализация основных общеобразовательных программ основного общего образования</t>
  </si>
  <si>
    <t>Реализация основных общеобразовательных программ среднего общего образования</t>
  </si>
  <si>
    <t>3.2.3. Расчет доходов от оказания услуг, выполнения работ в рамках установленного муниципального задания.</t>
  </si>
  <si>
    <t>Реализация дополнительных общеразвивающих программ</t>
  </si>
  <si>
    <t>коммунальные расходы</t>
  </si>
  <si>
    <t>расходы на содержание имущества</t>
  </si>
  <si>
    <t>Компенсация питания учащимся с ОВЗ на дому</t>
  </si>
  <si>
    <t>Ремонты 244</t>
  </si>
  <si>
    <t>Ремонты 243</t>
  </si>
  <si>
    <t>М.А. Аксенова</t>
  </si>
  <si>
    <t>Заместитель руководителя главного управления образования администрации города Красноярска</t>
  </si>
  <si>
    <t>в том числе:м стимулирующие выплаты директоров (заведующих), в мес</t>
  </si>
  <si>
    <t>на 2023 г.</t>
  </si>
  <si>
    <t>Утилизация списанного оборудования</t>
  </si>
  <si>
    <t>0102</t>
  </si>
  <si>
    <t>стол ученический (8 шт), стул ученический (16 шт), стол (2 шт), стул офисный (1 шт)</t>
  </si>
  <si>
    <t>0202</t>
  </si>
  <si>
    <t>2021</t>
  </si>
  <si>
    <t>26520</t>
  </si>
  <si>
    <t>2022</t>
  </si>
  <si>
    <t>26530</t>
  </si>
  <si>
    <t>2023</t>
  </si>
  <si>
    <t>26620</t>
  </si>
  <si>
    <t>26630</t>
  </si>
  <si>
    <t>Предоставление питания</t>
  </si>
  <si>
    <t>в том числе целевые субсидии</t>
  </si>
  <si>
    <t>иные выплаты населению</t>
  </si>
  <si>
    <t xml:space="preserve">
гранты, предоставляемые  автномным учреждениям</t>
  </si>
  <si>
    <t>из них:
гранты, предоставляемые бюджетным учреждениям</t>
  </si>
  <si>
    <t xml:space="preserve">
гранты, предоставляемые  иным некоммерческим организациям ( за исключением бюджетных и автонономных учреждений)</t>
  </si>
  <si>
    <t xml:space="preserve">
гранты, предоставляемые другим организациям и физическим лицам</t>
  </si>
  <si>
    <t>платежи в целях обеспечения реализации соглашений с правительством иностранных государств и международными организациями</t>
  </si>
  <si>
    <t>Закупка товаров, работ, услуг в целях создания, развития, эксплуатации и вывода из эксплуатации государственных информационных систем</t>
  </si>
  <si>
    <t>закупка  энергетических ресурсов</t>
  </si>
  <si>
    <r>
      <t xml:space="preserve">Раздел 2. Сведения по выплатам на закупки товаров, работ, услуг </t>
    </r>
    <r>
      <rPr>
        <vertAlign val="superscript"/>
        <sz val="15"/>
        <rFont val="Times New Roman"/>
        <family val="1"/>
        <charset val="204"/>
      </rPr>
      <t/>
    </r>
  </si>
  <si>
    <t>КБК Российской Федерации</t>
  </si>
  <si>
    <t>4.1</t>
  </si>
  <si>
    <t>1.3.1</t>
  </si>
  <si>
    <t>в том числе в соответствии с Федеральным законом № 44-ФЗ</t>
  </si>
  <si>
    <t>26310</t>
  </si>
  <si>
    <t xml:space="preserve">из них: </t>
  </si>
  <si>
    <t>26310.1</t>
  </si>
  <si>
    <t>1.3.2</t>
  </si>
  <si>
    <t>в том числе в соответствии с Федеральным законом № 223-ФЗ</t>
  </si>
  <si>
    <t>26320</t>
  </si>
  <si>
    <t>26320.1</t>
  </si>
  <si>
    <t>в том числе:
за счет субсидий, предоставляемых на финансовое обеспечение выполнения муниципального задания</t>
  </si>
  <si>
    <t>26421.1</t>
  </si>
  <si>
    <t>02200S5630</t>
  </si>
  <si>
    <t>26421.2</t>
  </si>
  <si>
    <t>022R373980</t>
  </si>
  <si>
    <t>26421.3</t>
  </si>
  <si>
    <t>0240076490</t>
  </si>
  <si>
    <t>26421.4</t>
  </si>
  <si>
    <t>0250088100</t>
  </si>
  <si>
    <t>26421.5</t>
  </si>
  <si>
    <t>0270075660</t>
  </si>
  <si>
    <t>26421.6</t>
  </si>
  <si>
    <t>0220086040</t>
  </si>
  <si>
    <t>26421.7</t>
  </si>
  <si>
    <t>0220088230</t>
  </si>
  <si>
    <t>26421.8</t>
  </si>
  <si>
    <t>0270086060</t>
  </si>
  <si>
    <t>26421.9</t>
  </si>
  <si>
    <t>0220088100</t>
  </si>
  <si>
    <t>26421.10</t>
  </si>
  <si>
    <t>0260088130</t>
  </si>
  <si>
    <t>26421.11</t>
  </si>
  <si>
    <t>0270088240</t>
  </si>
  <si>
    <t>26421.12</t>
  </si>
  <si>
    <t>02200L3040</t>
  </si>
  <si>
    <t>26421.13</t>
  </si>
  <si>
    <t>02200S5690</t>
  </si>
  <si>
    <t>26421.14</t>
  </si>
  <si>
    <t>в том числе:
в соответствии с Федеральным законом № 223-ФЗ</t>
  </si>
  <si>
    <t>26430.1</t>
  </si>
  <si>
    <t>26430.2</t>
  </si>
  <si>
    <t>26430.3</t>
  </si>
  <si>
    <t>26430.4</t>
  </si>
  <si>
    <t>26430.5</t>
  </si>
  <si>
    <t>26430.6</t>
  </si>
  <si>
    <t>26430.7</t>
  </si>
  <si>
    <t>ПРОВЕРКА НЕ СТИРАТЬ!!!</t>
  </si>
  <si>
    <t>«31»</t>
  </si>
  <si>
    <t>марта</t>
  </si>
  <si>
    <r>
      <t>«</t>
    </r>
    <r>
      <rPr>
        <u/>
        <sz val="15"/>
        <rFont val="Times New Roman"/>
        <family val="1"/>
        <charset val="204"/>
      </rPr>
      <t>31</t>
    </r>
    <r>
      <rPr>
        <sz val="15"/>
        <rFont val="Times New Roman"/>
        <family val="1"/>
        <charset val="204"/>
      </rPr>
      <t>»</t>
    </r>
  </si>
  <si>
    <t>2021 г..</t>
  </si>
  <si>
    <t>на 2024 г.</t>
  </si>
  <si>
    <t>на 2024 г</t>
  </si>
  <si>
    <t>иные</t>
  </si>
  <si>
    <t>мз</t>
  </si>
  <si>
    <t>проверка на остатки</t>
  </si>
  <si>
    <t>бюджет</t>
  </si>
  <si>
    <t>остатки</t>
  </si>
  <si>
    <t>на 2023 г</t>
  </si>
  <si>
    <t>в том числе: в соответствии с Федеральным законом № 44-ФЗ</t>
  </si>
  <si>
    <t>из них: в соответствии с Федеральным законом № 223-ФЗ</t>
  </si>
  <si>
    <t>3.8. Обоснование (расчет) плановых показателей по выплатам пенсий, пособий, выплачиваемых работодателями.</t>
  </si>
  <si>
    <t>3.8.1. Обоснование (расчет) плановых показателей по выплатам пенсий, пособий, выплачиваемых работодателями (заполняется раздельно по источникам финансового обеспечения).</t>
  </si>
  <si>
    <t>Пенсии, пособия, выплачиваемые работодателями, нанимателями бывшим работникам (КОСГУ 264)</t>
  </si>
  <si>
    <t>Пособия за первые три дня временной нетрудоспособности за счет средств работодателя (КОСГУ 266)</t>
  </si>
  <si>
    <t>ПРОВЕРКА!</t>
  </si>
  <si>
    <t xml:space="preserve">Оплата за почтовые отправления, телеграммы, марки           </t>
  </si>
  <si>
    <t>Возмещение работникам расходов, связанных со служебными командировками (суточные)</t>
  </si>
  <si>
    <t>Возмещение работникам расходов, связанных со служебными командировками (ПРОЖИВАНИЕ)</t>
  </si>
  <si>
    <t>Отопление (Гкал)</t>
  </si>
  <si>
    <t>Э/энергия (кВт)</t>
  </si>
  <si>
    <t>питание детей (летние оздоровительные площадки)</t>
  </si>
  <si>
    <t>2024</t>
  </si>
  <si>
    <r>
      <t xml:space="preserve">за счет субсидий, предоставляемых на осуществление капитальных вложений </t>
    </r>
    <r>
      <rPr>
        <vertAlign val="superscript"/>
        <sz val="10"/>
        <rFont val="Times New Roman"/>
        <family val="1"/>
        <charset val="204"/>
      </rPr>
      <t>14</t>
    </r>
  </si>
  <si>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t>
    </r>
    <r>
      <rPr>
        <vertAlign val="superscript"/>
        <sz val="10"/>
        <rFont val="Times New Roman"/>
        <family val="1"/>
        <charset val="204"/>
      </rPr>
      <t>12</t>
    </r>
  </si>
  <si>
    <t>Педагогический персонал
(воспитатели (интернат), педагог библиотекарь)</t>
  </si>
  <si>
    <t xml:space="preserve">на 2024 г. </t>
  </si>
  <si>
    <t>на 2025 г.</t>
  </si>
  <si>
    <t>на 2025 г</t>
  </si>
  <si>
    <t xml:space="preserve">Транспортные расходы по служебным командировкам - оплата проезда в части расходов, связанных с командированием педагогических работников, транспортные услуги для проведения культурно-массовых и массовых физкультурно-спортивных соревнований детей, олимпиад и других мероприятий с участием обучающихся </t>
  </si>
  <si>
    <t>Клещевая обработка</t>
  </si>
  <si>
    <t>Обслуживание лифтов</t>
  </si>
  <si>
    <t>Ремонт и обслуживание систем видеонаблюдения</t>
  </si>
  <si>
    <t>Реклама в СМИ (размещение в газете "Городские новости")</t>
  </si>
  <si>
    <t>Подписка, электронная подписка</t>
  </si>
  <si>
    <t xml:space="preserve">Расходы, связанные с лицензированием образовательной деятельности, аттестация и государственная аккредитация учреждения (госпошлина) </t>
  </si>
  <si>
    <t>3.6.5. Расчет фонда оплаты труда на 2025 г. (второй год планового периода) (заполняется раздельно по источникам финансового обеспечения).</t>
  </si>
  <si>
    <t>3.6.4. Расчет фонда оплаты труда на 2024 г. (первый год финансового плана) (заполняется раздельно по источникам финансового обеспечения).</t>
  </si>
  <si>
    <t>3.6.3. Расчет фонда оплаты труда на 2023 г. (текущий финансовый год) (заполняется раздельно по источникам финансового обеспечения).</t>
  </si>
  <si>
    <t>(на 2023г. и плановый период 2024 и 2025 годов¹)</t>
  </si>
  <si>
    <t xml:space="preserve">План
 финансово-хозяйственной деятельности на 2023 г.. </t>
  </si>
  <si>
    <t>Планируемые выплаты на закупку товаров, работ и услуг (с. 0100 - с. 0200 + с. 0300 - с. 0400 + с. 0500)</t>
  </si>
  <si>
    <t>«____»</t>
  </si>
  <si>
    <t>_______________</t>
  </si>
  <si>
    <t>20___ г.</t>
  </si>
  <si>
    <t>_____________</t>
  </si>
  <si>
    <t>« ___ »</t>
  </si>
  <si>
    <t>2025</t>
  </si>
  <si>
    <t>Водоснабжение/ мусор</t>
  </si>
  <si>
    <t>Тепло-/электро-энергия</t>
  </si>
  <si>
    <r>
      <t xml:space="preserve">в том числе: за счет субсидий, предоставляемых на финансовое обеспечение выполнения </t>
    </r>
    <r>
      <rPr>
        <b/>
        <sz val="14"/>
        <rFont val="Times New Roman"/>
        <family val="1"/>
        <charset val="204"/>
      </rPr>
      <t>муниципального задания</t>
    </r>
  </si>
  <si>
    <r>
      <t xml:space="preserve">Выплаты на закупку товаров, работ, услуг, </t>
    </r>
    <r>
      <rPr>
        <b/>
        <sz val="12"/>
        <rFont val="Times New Roman"/>
        <family val="1"/>
        <charset val="204"/>
      </rPr>
      <t>всего</t>
    </r>
    <r>
      <rPr>
        <sz val="10"/>
        <rFont val="Times New Roman"/>
        <family val="1"/>
        <charset val="204"/>
      </rPr>
      <t xml:space="preserve"> </t>
    </r>
    <r>
      <rPr>
        <vertAlign val="superscript"/>
        <sz val="10"/>
        <rFont val="Times New Roman"/>
        <family val="1"/>
        <charset val="204"/>
      </rPr>
      <t>10</t>
    </r>
  </si>
  <si>
    <t>за счет субсидий, предоставляемых в соответствии с абзацем вторым пункта 1 статьи 78.1 Бюджетного кодекса Российской Федерации</t>
  </si>
  <si>
    <r>
      <t>_____</t>
    </r>
    <r>
      <rPr>
        <vertAlign val="superscript"/>
        <sz val="10"/>
        <rFont val="Times New Roman"/>
        <family val="1"/>
        <charset val="204"/>
      </rPr>
      <t>11</t>
    </r>
    <r>
      <rPr>
        <sz val="10"/>
        <color indexed="9"/>
        <rFont val="Times New Roman"/>
        <family val="1"/>
        <charset val="204"/>
      </rPr>
      <t>_</t>
    </r>
    <r>
      <rPr>
        <sz val="10"/>
        <rFont val="Times New Roman"/>
        <family val="1"/>
        <charset val="204"/>
      </rPr>
      <t>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</si>
  <si>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 xml:space="preserve">в том числе:
по контрактам (договорам), заключенным до начала текущего финансового года без применения норм Федерального закона от 05.04.2013 № 44-ФЗ «О контрактной системе в сфере закупок товаров, работ, услуг для обеспечения государственных и муниципальных нужд» (далее </t>
    </r>
    <r>
      <rPr>
        <sz val="10"/>
        <rFont val="Calibri"/>
        <family val="2"/>
        <charset val="204"/>
      </rPr>
      <t>–</t>
    </r>
    <r>
      <rPr>
        <sz val="10"/>
        <rFont val="Times New Roman"/>
        <family val="1"/>
        <charset val="204"/>
      </rPr>
      <t xml:space="preserve"> Федеральный закон № 44-ФЗ) и Федерального закона от 18.07.2011 № 223-ФЗ «О закупках товаров, работ, услуг отдельными видами юридических лиц» (далее </t>
    </r>
    <r>
      <rPr>
        <sz val="10"/>
        <rFont val="Calibri"/>
        <family val="2"/>
        <charset val="204"/>
      </rPr>
      <t>–</t>
    </r>
    <r>
      <rPr>
        <sz val="10"/>
        <rFont val="Times New Roman"/>
        <family val="1"/>
        <charset val="204"/>
      </rPr>
      <t xml:space="preserve"> Федеральный закон № 223-ФЗ)</t>
    </r>
    <r>
      <rPr>
        <vertAlign val="superscript"/>
        <sz val="10"/>
        <rFont val="Times New Roman"/>
        <family val="1"/>
        <charset val="204"/>
      </rPr>
      <t>11</t>
    </r>
  </si>
  <si>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</si>
  <si>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x</t>
  </si>
  <si>
    <r>
      <t xml:space="preserve">в том числе: налог на прибыль </t>
    </r>
    <r>
      <rPr>
        <vertAlign val="superscript"/>
        <sz val="10"/>
        <rFont val="Times New Roman"/>
        <family val="1"/>
        <charset val="204"/>
      </rPr>
      <t>7</t>
    </r>
  </si>
  <si>
    <t>в том числе: приобретение объектов недвижимого имущества муниципальными учреждениями</t>
  </si>
  <si>
    <t>в том числе: закупку научно-исследовательских и опытно-конструкторских работ</t>
  </si>
  <si>
    <t>из них: увеличение остатков денежных средств за счет возврата дебиторской задолженности прошлых лет</t>
  </si>
  <si>
    <t>в том числе: доходы от собственности, всего</t>
  </si>
  <si>
    <t xml:space="preserve"> МБОУ СШ № 73</t>
  </si>
  <si>
    <t>Муниципальное бюджетное общеобразовательное учреждение "Средняя школа № 73 имени Т. К. Кравцова"</t>
  </si>
  <si>
    <t xml:space="preserve">Директор </t>
  </si>
  <si>
    <t>платные образовательные услуги, в том числе:</t>
  </si>
  <si>
    <t>родительская плата за присмотр и уход</t>
  </si>
  <si>
    <t>Занятия по подготовке к школе для детей дошкольного возраста "Дошколёнок"</t>
  </si>
  <si>
    <t>Репетиторство</t>
  </si>
  <si>
    <t>3.5. Обоснование (расчет) плановых показателей поступлений доходов по статье 150 «Безвозмездные денежные поступления».</t>
  </si>
  <si>
    <t>3.5.1. Обоснование (расчет) плановых показателей поступлений доходов по статье 150 «Безвозмездные денежные поступления».</t>
  </si>
  <si>
    <t>Доходы, всего</t>
  </si>
  <si>
    <t xml:space="preserve">в том числе:
</t>
  </si>
  <si>
    <t>безвозмездные денежные поступления</t>
  </si>
  <si>
    <t>Стоки (м3)</t>
  </si>
  <si>
    <t xml:space="preserve">За негативное воздействие на работу централизованной системы водоотведение, прочие услуги </t>
  </si>
  <si>
    <t>АЦК</t>
  </si>
  <si>
    <t>откл</t>
  </si>
  <si>
    <t>внебюджет</t>
  </si>
  <si>
    <t>043Щ4984</t>
  </si>
  <si>
    <t>3.13.7. Обоснование (расчет) выплат персоналу по уходу за ребенком.</t>
  </si>
  <si>
    <t>Код</t>
  </si>
  <si>
    <t>строки</t>
  </si>
  <si>
    <t>пособие по уходу за ребенком до достижения им 3х лет</t>
  </si>
  <si>
    <t>3.13.8. Обоснование (расчет) плановых показателей по раходам на повышение квалификации (профессиональную переподготовку).</t>
  </si>
  <si>
    <t>Количество работников, направляемых на повышение квалификации (переподготовку), чел.</t>
  </si>
  <si>
    <t>Цена обучения одного работника, руб.</t>
  </si>
  <si>
    <t>Обучение по охране труда</t>
  </si>
  <si>
    <t xml:space="preserve">Обучение по  теплоэлектрохозяйству </t>
  </si>
  <si>
    <t xml:space="preserve">Обучение по пожарной безопасности </t>
  </si>
  <si>
    <t>Курсы повышения квалификации</t>
  </si>
  <si>
    <t>34</t>
  </si>
  <si>
    <t>33</t>
  </si>
  <si>
    <t>32</t>
  </si>
  <si>
    <t>31</t>
  </si>
  <si>
    <t>29</t>
  </si>
  <si>
    <t>28</t>
  </si>
  <si>
    <t>27</t>
  </si>
  <si>
    <t>26</t>
  </si>
  <si>
    <t>25</t>
  </si>
  <si>
    <t>24</t>
  </si>
  <si>
    <t>23</t>
  </si>
  <si>
    <t>22</t>
  </si>
  <si>
    <t>Производственный контроль</t>
  </si>
  <si>
    <t>21</t>
  </si>
  <si>
    <t xml:space="preserve">Аутсорсинг </t>
  </si>
  <si>
    <t>20</t>
  </si>
  <si>
    <t>Медосмотр по выпуску водителей на линию</t>
  </si>
  <si>
    <t>19</t>
  </si>
  <si>
    <t>Охрана объекта (тревожная кнопка)</t>
  </si>
  <si>
    <t>18</t>
  </si>
  <si>
    <t>Лабораторные исследования бассейна, воздуха, воды, готовых блюд (производственный контроль)</t>
  </si>
  <si>
    <t>17</t>
  </si>
  <si>
    <t>ТендерПрофи (Оказание услуг по сопровождению закупочной деятельности)</t>
  </si>
  <si>
    <t>16</t>
  </si>
  <si>
    <t>15</t>
  </si>
  <si>
    <t>Спец.оценка условий труда (проведение аттестации рабочих мест)</t>
  </si>
  <si>
    <t>14</t>
  </si>
  <si>
    <t>Пожарный аудит, энергоаудит</t>
  </si>
  <si>
    <t>13</t>
  </si>
  <si>
    <t>ПРОЕЗД, ПРОЖИВАНИЕ (возмещение работникам расходов, связанных со служебными командировками)</t>
  </si>
  <si>
    <t>12</t>
  </si>
  <si>
    <t>ПРИШКОЛЬНАЯ ПЛОЩАДКА, Организация питания детей</t>
  </si>
  <si>
    <t>11</t>
  </si>
  <si>
    <t xml:space="preserve">Санминимум (ЦГСЭН) проведение </t>
  </si>
  <si>
    <t>10</t>
  </si>
  <si>
    <t xml:space="preserve">Монтаж видеонаблюдения </t>
  </si>
  <si>
    <t>9</t>
  </si>
  <si>
    <t>Охрана ЧОП</t>
  </si>
  <si>
    <t>Программное обеспечение, сопровождение</t>
  </si>
  <si>
    <t>Медицинский осмотр, возмещение медосмотра</t>
  </si>
  <si>
    <t>Количество услуг</t>
  </si>
  <si>
    <t>3.13.6.(1) Обоснование (расчет) плановых показателей на содержание прочих услуг</t>
  </si>
  <si>
    <t>Дератизация</t>
  </si>
  <si>
    <t xml:space="preserve">Обслуживание водопроводных и канализационных сетей </t>
  </si>
  <si>
    <t xml:space="preserve">Обслуживание электроосветительной системы </t>
  </si>
  <si>
    <t xml:space="preserve">Обслуживание технологического оборудования </t>
  </si>
  <si>
    <t xml:space="preserve">Поверка средств измерения, счетчиков </t>
  </si>
  <si>
    <t xml:space="preserve">Обслуживание приборов учета тепла </t>
  </si>
  <si>
    <t>Текущий и плановый ремонт транспорта</t>
  </si>
  <si>
    <t>Диагностика транспорта</t>
  </si>
  <si>
    <t xml:space="preserve">Обработка деревянных конструкций чердачных помещений </t>
  </si>
  <si>
    <t>Расходы на содержание здания (эксплуатац.расх.)</t>
  </si>
  <si>
    <t>Аутсорсинг  уб.помещений</t>
  </si>
  <si>
    <t>Аутсорсинг  уб.территории</t>
  </si>
  <si>
    <t xml:space="preserve">Ремонт электроотопления </t>
  </si>
  <si>
    <t xml:space="preserve">Испытание внутреннего противопожарного водопровода </t>
  </si>
  <si>
    <t>Перекатка на новую складку напорных пожарных рукавов</t>
  </si>
  <si>
    <t>Обслуживание ИТП (индивидуальные тепловые пункты)</t>
  </si>
  <si>
    <t>Обслуживание автоматического шлагбаума/СКУД</t>
  </si>
  <si>
    <t>Вентиляция (обслуживание)</t>
  </si>
  <si>
    <t>Испытание диэлектрических перчаток</t>
  </si>
  <si>
    <t>Обслуживание систем автоматической охранно-пожарной сигнализации</t>
  </si>
  <si>
    <t xml:space="preserve">Испытание наружных пожарных лестниц </t>
  </si>
  <si>
    <t>Определение категории огнестойкости и взрывопожарности складского помещения</t>
  </si>
  <si>
    <t>Испытание огнезащитного покрытия деревянных чердачных помещений</t>
  </si>
  <si>
    <t>Испытание системы дымоудаления</t>
  </si>
  <si>
    <t>Испытание кровли</t>
  </si>
  <si>
    <t>Инструментальный контроль качества огнезащитной обр.дер</t>
  </si>
  <si>
    <t>Обслуживание систем оповещения</t>
  </si>
  <si>
    <t xml:space="preserve">Обслуживание футбольных полей </t>
  </si>
  <si>
    <t>Обслуживание спортивных площадок</t>
  </si>
  <si>
    <t>Испытание пожарных рукавов</t>
  </si>
  <si>
    <t>Оплата ГПХ ( оплата труда лиц привлекаемых для выполнения работ по дог.ГПХ, в части расходов связанных с ремонтом оборудования)</t>
  </si>
  <si>
    <t>35</t>
  </si>
  <si>
    <t>36</t>
  </si>
  <si>
    <t>Экспертиза имущества для списания, Лабораторные исследования имущества</t>
  </si>
  <si>
    <t>37</t>
  </si>
  <si>
    <t>38</t>
  </si>
  <si>
    <t>39</t>
  </si>
  <si>
    <t>40</t>
  </si>
  <si>
    <t>41</t>
  </si>
  <si>
    <t>42</t>
  </si>
  <si>
    <t>РЕМОНТЫ 243</t>
  </si>
  <si>
    <t>43</t>
  </si>
  <si>
    <t>РЕМОНТЫ 244</t>
  </si>
  <si>
    <t>44</t>
  </si>
  <si>
    <t>3.13.5. Обоснование (расчет) плановых показателей по расходам  на аренду имущества.</t>
  </si>
  <si>
    <t>Арендуемая площадь (количество объектов), кв. м (ед.)</t>
  </si>
  <si>
    <t>Продолжительность аренды, (месяц, день, час)</t>
  </si>
  <si>
    <t>Цена аренды в месяц (день, час), руб.</t>
  </si>
  <si>
    <t>Задолженность по принятым и неисполненным обязательствам, полученные предварительные платежи (авансы) по контрактам (договорам) (кредиторская задолженность) на начало года</t>
  </si>
  <si>
    <t>обязательное страхование</t>
  </si>
  <si>
    <t>(227 страхование)</t>
  </si>
  <si>
    <t>повышение квалификации (профессиональная переподготовка)</t>
  </si>
  <si>
    <t>(226 повышение квалификации (профессиональная переподготовка))</t>
  </si>
  <si>
    <t>вся 226 кроме за минусом строки 307</t>
  </si>
  <si>
    <t>приобретение объектов движимого имущества</t>
  </si>
  <si>
    <t>Задолженность по принятым и неисполненным обязательствам, полученные предварительные платежи (авансы) по контрактам (договорам) (кредиторская задолженность) на конец года</t>
  </si>
  <si>
    <t>пожертвования</t>
  </si>
  <si>
    <t>ул. Мелькомбинатская 2, ком. №52 №49 пом. №1 на 2 этаже</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</si>
</sst>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_(* \(#,##0.00\);_(* &quot;-&quot;??_);_(@_)"/>
    <numFmt numFmtId="165" formatCode="[$-F800]dddd\,\ mmmm\ dd\,\ yyyy"/>
  </numFmts>
  <fonts count="38" x14ac:knownFonts="1">
    <font>
      <sz val="10"/>
      <name val="Arial Cyr"/>
      <charset val="204"/>
    </font>
    <font>
      <sz val="10"/>
      <name val="Arial Cyr"/>
      <charset val="204"/>
    </font>
    <font>
      <sz val="11"/>
      <color indexed="8"/>
      <name val="Calibri"/>
      <family val="2"/>
      <charset val="204"/>
    </font>
    <font>
      <sz val="10"/>
      <name val="Arial"/>
      <family val="2"/>
      <charset val="204"/>
    </font>
    <font>
      <sz val="10"/>
      <name val="Times New Roman"/>
      <family val="1"/>
      <charset val="204"/>
    </font>
    <font>
      <sz val="12"/>
      <name val="Times New Roman"/>
      <family val="1"/>
      <charset val="204"/>
    </font>
    <font>
      <b/>
      <sz val="10"/>
      <name val="Times New Roman"/>
      <family val="1"/>
      <charset val="204"/>
    </font>
    <font>
      <sz val="8"/>
      <name val="Times New Roman"/>
      <family val="1"/>
      <charset val="204"/>
    </font>
    <font>
      <sz val="15"/>
      <name val="Times New Roman"/>
      <family val="1"/>
      <charset val="204"/>
    </font>
    <font>
      <vertAlign val="superscript"/>
      <sz val="10"/>
      <name val="Times New Roman"/>
      <family val="1"/>
      <charset val="204"/>
    </font>
    <font>
      <sz val="10"/>
      <name val="Calibri"/>
      <family val="2"/>
      <charset val="204"/>
    </font>
    <font>
      <sz val="10"/>
      <color indexed="9"/>
      <name val="Times New Roman"/>
      <family val="1"/>
      <charset val="204"/>
    </font>
    <font>
      <vertAlign val="superscript"/>
      <sz val="15"/>
      <name val="Times New Roman"/>
      <family val="1"/>
      <charset val="204"/>
    </font>
    <font>
      <sz val="10"/>
      <name val="Symbol"/>
      <family val="1"/>
      <charset val="2"/>
    </font>
    <font>
      <sz val="11"/>
      <name val="Times New Roman"/>
      <family val="1"/>
      <charset val="204"/>
    </font>
    <font>
      <b/>
      <sz val="12"/>
      <name val="Times New Roman"/>
      <family val="1"/>
      <charset val="204"/>
    </font>
    <font>
      <b/>
      <sz val="15"/>
      <name val="Times New Roman"/>
      <family val="1"/>
      <charset val="204"/>
    </font>
    <font>
      <sz val="8"/>
      <color indexed="81"/>
      <name val="Tahoma"/>
      <family val="2"/>
      <charset val="204"/>
    </font>
    <font>
      <b/>
      <sz val="8"/>
      <color indexed="81"/>
      <name val="Tahoma"/>
      <family val="2"/>
      <charset val="204"/>
    </font>
    <font>
      <u/>
      <sz val="15"/>
      <name val="Times New Roman"/>
      <family val="1"/>
      <charset val="204"/>
    </font>
    <font>
      <sz val="11"/>
      <color theme="1"/>
      <name val="Calibri"/>
      <family val="2"/>
      <charset val="204"/>
      <scheme val="minor"/>
    </font>
    <font>
      <sz val="10"/>
      <color theme="1"/>
      <name val="Arial Cyr"/>
      <family val="2"/>
      <charset val="204"/>
    </font>
    <font>
      <sz val="14"/>
      <name val="Times New Roman"/>
      <family val="1"/>
      <charset val="204"/>
    </font>
    <font>
      <sz val="10"/>
      <color rgb="FFFF0000"/>
      <name val="Times New Roman"/>
      <family val="1"/>
      <charset val="204"/>
    </font>
    <font>
      <sz val="10"/>
      <color indexed="8"/>
      <name val="Times New Roman"/>
      <family val="1"/>
      <charset val="204"/>
    </font>
    <font>
      <b/>
      <sz val="11"/>
      <name val="Times New Roman"/>
      <family val="1"/>
      <charset val="204"/>
    </font>
    <font>
      <b/>
      <sz val="14"/>
      <name val="Times New Roman"/>
      <family val="1"/>
      <charset val="204"/>
    </font>
    <font>
      <sz val="10"/>
      <color rgb="FFC00000"/>
      <name val="Times New Roman"/>
      <family val="1"/>
      <charset val="204"/>
    </font>
    <font>
      <sz val="14"/>
      <color theme="0" tint="-0.249977111117893"/>
      <name val="Times New Roman"/>
      <family val="1"/>
      <charset val="204"/>
    </font>
    <font>
      <sz val="8"/>
      <name val="Arial Cyr"/>
      <charset val="204"/>
    </font>
    <font>
      <b/>
      <sz val="10"/>
      <name val="Arial Cyr"/>
      <charset val="204"/>
    </font>
    <font>
      <sz val="9"/>
      <name val="Times New Roman"/>
      <family val="1"/>
      <charset val="204"/>
    </font>
    <font>
      <sz val="14"/>
      <color indexed="8"/>
      <name val="Times New Roman"/>
      <family val="1"/>
      <charset val="204"/>
    </font>
    <font>
      <sz val="16"/>
      <name val="Times New Roman"/>
      <family val="1"/>
      <charset val="204"/>
    </font>
    <font>
      <sz val="12"/>
      <color rgb="FFFF0000"/>
      <name val="Times New Roman"/>
      <family val="1"/>
      <charset val="204"/>
    </font>
    <font>
      <sz val="10"/>
      <color theme="1"/>
      <name val="Times New Roman"/>
      <family val="1"/>
      <charset val="204"/>
    </font>
    <font>
      <sz val="8"/>
      <color theme="1"/>
      <name val="Times New Roman"/>
      <family val="1"/>
      <charset val="204"/>
    </font>
    <font>
      <sz val="12"/>
      <color theme="1"/>
      <name val="Times New Roman"/>
      <family val="1"/>
      <charset val="204"/>
    </font>
  </fonts>
  <fills count="13">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14999847407452621"/>
        <bgColor indexed="49"/>
      </patternFill>
    </fill>
    <fill>
      <patternFill patternType="solid">
        <fgColor theme="7" tint="0.59999389629810485"/>
        <bgColor indexed="64"/>
      </patternFill>
    </fill>
    <fill>
      <patternFill patternType="solid">
        <fgColor theme="5"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bottom style="thin">
        <color indexed="64"/>
      </bottom>
      <diagonal/>
    </border>
    <border>
      <left/>
      <right style="mediumDashDotDot">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DashDotDot">
        <color indexed="64"/>
      </left>
      <right/>
      <top/>
      <bottom style="thin">
        <color indexed="64"/>
      </bottom>
      <diagonal/>
    </border>
    <border>
      <left/>
      <right style="mediumDashDotDot">
        <color indexed="64"/>
      </right>
      <top/>
      <bottom style="thin">
        <color indexed="64"/>
      </bottom>
      <diagonal/>
    </border>
    <border>
      <left style="mediumDashDotDot">
        <color indexed="64"/>
      </left>
      <right/>
      <top/>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style="mediumDashDotDot">
        <color indexed="64"/>
      </left>
      <right/>
      <top style="thin">
        <color indexed="64"/>
      </top>
      <bottom/>
      <diagonal/>
    </border>
    <border>
      <left/>
      <right style="mediumDashDotDot">
        <color indexed="64"/>
      </right>
      <top style="thin">
        <color indexed="64"/>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bottom style="medium">
        <color indexed="64"/>
      </bottom>
      <diagonal/>
    </border>
  </borders>
  <cellStyleXfs count="21">
    <xf numFmtId="0" fontId="0" fillId="0" borderId="0"/>
    <xf numFmtId="0" fontId="2" fillId="0" borderId="0"/>
    <xf numFmtId="0" fontId="1" fillId="0" borderId="0"/>
    <xf numFmtId="0" fontId="20" fillId="0" borderId="0"/>
    <xf numFmtId="0" fontId="20" fillId="0" borderId="0"/>
    <xf numFmtId="0" fontId="20" fillId="0" borderId="0"/>
    <xf numFmtId="0" fontId="21" fillId="0" borderId="0"/>
    <xf numFmtId="0" fontId="3" fillId="0" borderId="0"/>
    <xf numFmtId="0" fontId="3" fillId="0" borderId="0"/>
    <xf numFmtId="0" fontId="3" fillId="0" borderId="0"/>
    <xf numFmtId="0" fontId="3" fillId="0" borderId="0"/>
    <xf numFmtId="0" fontId="3" fillId="0" borderId="0"/>
    <xf numFmtId="0" fontId="21" fillId="0" borderId="0"/>
    <xf numFmtId="0" fontId="20" fillId="0" borderId="0"/>
    <xf numFmtId="0" fontId="20" fillId="0" borderId="0"/>
    <xf numFmtId="0" fontId="20" fillId="0" borderId="0"/>
    <xf numFmtId="0" fontId="1" fillId="0" borderId="0"/>
    <xf numFmtId="0" fontId="1" fillId="0" borderId="0"/>
    <xf numFmtId="0" fontId="20" fillId="0" borderId="0"/>
    <xf numFmtId="0" fontId="20" fillId="0" borderId="0"/>
    <xf numFmtId="164" fontId="3" fillId="0" borderId="0" applyFont="0" applyFill="0" applyBorder="0" applyAlignment="0" applyProtection="0"/>
  </cellStyleXfs>
  <cellXfs count="701">
    <xf numFmtId="0" fontId="0" fillId="0" borderId="0" xfId="0"/>
    <xf numFmtId="0" fontId="0" fillId="0" borderId="1" xfId="0" applyBorder="1" applyAlignment="1">
      <alignment horizontal="center"/>
    </xf>
    <xf numFmtId="0" fontId="0" fillId="0" borderId="1" xfId="0" applyBorder="1"/>
    <xf numFmtId="0" fontId="0" fillId="0" borderId="1" xfId="0" applyBorder="1" applyAlignment="1">
      <alignment horizontal="center" wrapText="1"/>
    </xf>
    <xf numFmtId="49" fontId="0" fillId="0" borderId="1" xfId="0" applyNumberFormat="1" applyBorder="1" applyAlignment="1">
      <alignment horizontal="right"/>
    </xf>
    <xf numFmtId="0" fontId="4" fillId="0" borderId="0" xfId="0" applyNumberFormat="1" applyFont="1" applyBorder="1" applyAlignment="1"/>
    <xf numFmtId="0" fontId="4" fillId="0" borderId="0" xfId="0" applyNumberFormat="1" applyFont="1" applyBorder="1" applyAlignment="1">
      <alignment horizontal="left"/>
    </xf>
    <xf numFmtId="0" fontId="4" fillId="0" borderId="0" xfId="0" applyNumberFormat="1" applyFont="1" applyBorder="1" applyAlignment="1">
      <alignment vertical="top"/>
    </xf>
    <xf numFmtId="0" fontId="4" fillId="0" borderId="1" xfId="0" applyNumberFormat="1" applyFont="1" applyBorder="1" applyAlignment="1">
      <alignment horizontal="center" wrapText="1"/>
    </xf>
    <xf numFmtId="0" fontId="4" fillId="0" borderId="0" xfId="0" applyNumberFormat="1" applyFont="1" applyBorder="1" applyAlignment="1">
      <alignment horizontal="left" wrapText="1"/>
    </xf>
    <xf numFmtId="0" fontId="4" fillId="0" borderId="1" xfId="0" applyNumberFormat="1" applyFont="1" applyBorder="1" applyAlignment="1">
      <alignment horizontal="left" wrapText="1"/>
    </xf>
    <xf numFmtId="0" fontId="4" fillId="0" borderId="1" xfId="0" applyNumberFormat="1" applyFont="1" applyBorder="1" applyAlignment="1">
      <alignment horizontal="center"/>
    </xf>
    <xf numFmtId="0" fontId="4" fillId="0" borderId="1" xfId="0" applyNumberFormat="1" applyFont="1" applyBorder="1" applyAlignment="1">
      <alignment horizontal="left"/>
    </xf>
    <xf numFmtId="0" fontId="4" fillId="0" borderId="0" xfId="0" applyNumberFormat="1" applyFont="1" applyBorder="1" applyAlignment="1">
      <alignment horizontal="center"/>
    </xf>
    <xf numFmtId="4" fontId="4" fillId="0" borderId="1" xfId="0" applyNumberFormat="1" applyFont="1" applyBorder="1" applyAlignment="1">
      <alignment horizontal="left"/>
    </xf>
    <xf numFmtId="4" fontId="4" fillId="0" borderId="0" xfId="0" applyNumberFormat="1" applyFont="1" applyBorder="1" applyAlignment="1">
      <alignment horizontal="left"/>
    </xf>
    <xf numFmtId="4" fontId="4" fillId="0" borderId="1" xfId="0" applyNumberFormat="1" applyFont="1" applyBorder="1" applyAlignment="1">
      <alignment horizontal="left" wrapText="1"/>
    </xf>
    <xf numFmtId="0" fontId="4" fillId="0" borderId="1" xfId="0" applyNumberFormat="1" applyFont="1" applyBorder="1" applyAlignment="1">
      <alignment horizontal="center" vertical="center" wrapText="1"/>
    </xf>
    <xf numFmtId="0" fontId="4" fillId="0" borderId="1" xfId="0" applyNumberFormat="1" applyFont="1" applyBorder="1" applyAlignment="1">
      <alignment horizontal="left" vertical="center" wrapText="1"/>
    </xf>
    <xf numFmtId="4" fontId="4" fillId="0" borderId="1" xfId="0" applyNumberFormat="1" applyFont="1" applyBorder="1" applyAlignment="1">
      <alignment horizontal="center" vertical="center" wrapText="1"/>
    </xf>
    <xf numFmtId="4" fontId="4" fillId="0" borderId="1" xfId="0" applyNumberFormat="1" applyFont="1" applyBorder="1" applyAlignment="1">
      <alignment horizontal="left" vertical="center" wrapText="1"/>
    </xf>
    <xf numFmtId="4" fontId="4" fillId="0" borderId="0" xfId="0" applyNumberFormat="1" applyFont="1" applyBorder="1" applyAlignment="1">
      <alignment horizontal="left" wrapText="1"/>
    </xf>
    <xf numFmtId="0" fontId="4" fillId="0" borderId="1" xfId="0" applyNumberFormat="1" applyFont="1" applyBorder="1" applyAlignment="1">
      <alignment horizontal="center" vertical="top" wrapText="1"/>
    </xf>
    <xf numFmtId="0" fontId="4" fillId="0" borderId="1" xfId="0" applyNumberFormat="1" applyFont="1" applyBorder="1" applyAlignment="1">
      <alignment vertical="top" wrapText="1"/>
    </xf>
    <xf numFmtId="0" fontId="4" fillId="0" borderId="1" xfId="0" applyNumberFormat="1" applyFont="1" applyBorder="1" applyAlignment="1">
      <alignment wrapText="1"/>
    </xf>
    <xf numFmtId="49" fontId="4" fillId="0" borderId="1" xfId="0" applyNumberFormat="1" applyFont="1" applyBorder="1" applyAlignment="1">
      <alignment wrapText="1"/>
    </xf>
    <xf numFmtId="0" fontId="6" fillId="0" borderId="1" xfId="0" applyNumberFormat="1" applyFont="1" applyBorder="1" applyAlignment="1">
      <alignment wrapText="1"/>
    </xf>
    <xf numFmtId="49" fontId="6" fillId="0" borderId="1" xfId="0" applyNumberFormat="1" applyFont="1" applyBorder="1" applyAlignment="1">
      <alignment wrapText="1"/>
    </xf>
    <xf numFmtId="0" fontId="5" fillId="0" borderId="0" xfId="0" applyNumberFormat="1" applyFont="1" applyBorder="1" applyAlignment="1"/>
    <xf numFmtId="0" fontId="4" fillId="0" borderId="1" xfId="0" applyNumberFormat="1" applyFont="1" applyBorder="1" applyAlignment="1"/>
    <xf numFmtId="0" fontId="7" fillId="0" borderId="1" xfId="0" applyNumberFormat="1" applyFont="1" applyBorder="1" applyAlignment="1">
      <alignment wrapText="1"/>
    </xf>
    <xf numFmtId="0" fontId="6" fillId="0" borderId="1" xfId="0" applyNumberFormat="1" applyFont="1" applyBorder="1" applyAlignment="1"/>
    <xf numFmtId="49" fontId="6" fillId="0" borderId="1" xfId="0" applyNumberFormat="1" applyFont="1" applyBorder="1" applyAlignment="1"/>
    <xf numFmtId="0" fontId="4" fillId="0" borderId="0" xfId="0" applyNumberFormat="1" applyFont="1" applyFill="1" applyBorder="1" applyAlignment="1">
      <alignment wrapText="1"/>
    </xf>
    <xf numFmtId="0" fontId="4" fillId="0" borderId="0" xfId="0" applyNumberFormat="1" applyFont="1" applyFill="1" applyBorder="1" applyAlignment="1">
      <alignment horizontal="left" wrapText="1"/>
    </xf>
    <xf numFmtId="0" fontId="4" fillId="0" borderId="0" xfId="0" applyNumberFormat="1" applyFont="1" applyFill="1" applyBorder="1" applyAlignment="1">
      <alignment horizontal="left"/>
    </xf>
    <xf numFmtId="0" fontId="4" fillId="0" borderId="0" xfId="0" applyNumberFormat="1" applyFont="1" applyBorder="1" applyAlignment="1">
      <alignment wrapText="1"/>
    </xf>
    <xf numFmtId="0" fontId="4" fillId="0" borderId="2" xfId="0" applyNumberFormat="1" applyFont="1" applyBorder="1" applyAlignment="1">
      <alignment wrapText="1"/>
    </xf>
    <xf numFmtId="0" fontId="4" fillId="0" borderId="3" xfId="0" applyNumberFormat="1" applyFont="1" applyBorder="1" applyAlignment="1">
      <alignment wrapText="1"/>
    </xf>
    <xf numFmtId="0" fontId="4" fillId="0" borderId="0" xfId="0" applyNumberFormat="1" applyFont="1" applyBorder="1" applyAlignment="1">
      <alignment horizontal="center" wrapText="1"/>
    </xf>
    <xf numFmtId="0" fontId="4" fillId="0" borderId="0" xfId="0" applyNumberFormat="1" applyFont="1" applyFill="1" applyBorder="1" applyAlignment="1"/>
    <xf numFmtId="0" fontId="4" fillId="0" borderId="1" xfId="0" applyNumberFormat="1" applyFont="1" applyFill="1" applyBorder="1" applyAlignment="1"/>
    <xf numFmtId="4" fontId="4" fillId="0" borderId="1" xfId="0" applyNumberFormat="1" applyFont="1" applyFill="1" applyBorder="1" applyAlignment="1"/>
    <xf numFmtId="0" fontId="4" fillId="0" borderId="1" xfId="0" applyNumberFormat="1" applyFont="1" applyFill="1" applyBorder="1" applyAlignment="1">
      <alignment wrapText="1"/>
    </xf>
    <xf numFmtId="0" fontId="5" fillId="0" borderId="4" xfId="0" applyNumberFormat="1" applyFont="1" applyBorder="1" applyAlignment="1"/>
    <xf numFmtId="0" fontId="5" fillId="0" borderId="4" xfId="0" applyNumberFormat="1" applyFont="1" applyBorder="1" applyAlignment="1">
      <alignment horizontal="left"/>
    </xf>
    <xf numFmtId="0" fontId="5" fillId="2" borderId="4" xfId="0" applyNumberFormat="1" applyFont="1" applyFill="1" applyBorder="1" applyAlignment="1"/>
    <xf numFmtId="0" fontId="7" fillId="0" borderId="0" xfId="0" applyNumberFormat="1" applyFont="1" applyBorder="1" applyAlignment="1">
      <alignment horizontal="left"/>
    </xf>
    <xf numFmtId="0" fontId="4" fillId="0" borderId="0" xfId="0" applyNumberFormat="1" applyFont="1" applyBorder="1" applyAlignment="1">
      <alignment horizontal="center" vertical="top" wrapText="1"/>
    </xf>
    <xf numFmtId="0" fontId="4" fillId="0" borderId="0" xfId="0" applyNumberFormat="1" applyFont="1" applyBorder="1" applyAlignment="1">
      <alignment vertical="top" wrapText="1"/>
    </xf>
    <xf numFmtId="0" fontId="5" fillId="0" borderId="0" xfId="0" applyNumberFormat="1" applyFont="1" applyBorder="1" applyAlignment="1">
      <alignment vertical="top" wrapText="1"/>
    </xf>
    <xf numFmtId="49" fontId="4" fillId="0" borderId="0" xfId="0" applyNumberFormat="1" applyFont="1" applyBorder="1" applyAlignment="1">
      <alignment wrapText="1"/>
    </xf>
    <xf numFmtId="0" fontId="5" fillId="0" borderId="0" xfId="0" applyNumberFormat="1" applyFont="1" applyBorder="1" applyAlignment="1">
      <alignment horizontal="center" vertical="top" wrapText="1"/>
    </xf>
    <xf numFmtId="0" fontId="4" fillId="0" borderId="5" xfId="0" applyNumberFormat="1" applyFont="1" applyBorder="1" applyAlignment="1">
      <alignment horizontal="left" wrapText="1"/>
    </xf>
    <xf numFmtId="0" fontId="14" fillId="0" borderId="0" xfId="0" applyNumberFormat="1" applyFont="1" applyBorder="1" applyAlignment="1">
      <alignment vertical="top" wrapText="1"/>
    </xf>
    <xf numFmtId="4" fontId="4" fillId="0" borderId="1" xfId="0" applyNumberFormat="1" applyFont="1" applyFill="1" applyBorder="1" applyAlignment="1">
      <alignment horizontal="left"/>
    </xf>
    <xf numFmtId="4" fontId="4" fillId="0" borderId="1" xfId="0" applyNumberFormat="1" applyFont="1" applyBorder="1" applyAlignment="1"/>
    <xf numFmtId="4" fontId="4" fillId="0" borderId="1" xfId="0" applyNumberFormat="1" applyFont="1" applyBorder="1" applyAlignment="1">
      <alignment wrapText="1"/>
    </xf>
    <xf numFmtId="2" fontId="4" fillId="0" borderId="1" xfId="0" applyNumberFormat="1" applyFont="1" applyBorder="1" applyAlignment="1">
      <alignment wrapText="1"/>
    </xf>
    <xf numFmtId="2" fontId="4" fillId="0" borderId="1" xfId="0" applyNumberFormat="1" applyFont="1" applyBorder="1" applyAlignment="1"/>
    <xf numFmtId="0" fontId="0" fillId="0" borderId="1" xfId="0" applyBorder="1" applyAlignment="1">
      <alignment wrapText="1"/>
    </xf>
    <xf numFmtId="4" fontId="0" fillId="0" borderId="0" xfId="0" applyNumberFormat="1"/>
    <xf numFmtId="4" fontId="0" fillId="0" borderId="1" xfId="0" applyNumberFormat="1" applyBorder="1"/>
    <xf numFmtId="4" fontId="4" fillId="0" borderId="0" xfId="0" applyNumberFormat="1" applyFont="1" applyFill="1" applyBorder="1" applyAlignment="1">
      <alignment horizontal="left"/>
    </xf>
    <xf numFmtId="4" fontId="4" fillId="0" borderId="0" xfId="0" applyNumberFormat="1" applyFont="1" applyBorder="1" applyAlignment="1"/>
    <xf numFmtId="0" fontId="8" fillId="0" borderId="0" xfId="0" applyNumberFormat="1" applyFont="1" applyBorder="1" applyAlignment="1"/>
    <xf numFmtId="0" fontId="5" fillId="0" borderId="0" xfId="0" applyNumberFormat="1" applyFont="1" applyBorder="1" applyAlignment="1">
      <alignment vertical="top"/>
    </xf>
    <xf numFmtId="49" fontId="4" fillId="0" borderId="0" xfId="0" applyNumberFormat="1" applyFont="1" applyBorder="1" applyAlignment="1">
      <alignment vertical="top"/>
    </xf>
    <xf numFmtId="49" fontId="4" fillId="0" borderId="1" xfId="0" applyNumberFormat="1" applyFont="1" applyBorder="1" applyAlignment="1">
      <alignment horizontal="center" vertical="center"/>
    </xf>
    <xf numFmtId="49" fontId="4" fillId="0" borderId="1" xfId="0" applyNumberFormat="1" applyFont="1" applyBorder="1" applyAlignment="1">
      <alignment vertical="top"/>
    </xf>
    <xf numFmtId="49" fontId="4" fillId="0" borderId="1" xfId="0" applyNumberFormat="1" applyFont="1" applyBorder="1" applyAlignment="1">
      <alignment vertical="top" wrapText="1"/>
    </xf>
    <xf numFmtId="49" fontId="4" fillId="0" borderId="0" xfId="0" applyNumberFormat="1" applyFont="1" applyBorder="1" applyAlignment="1">
      <alignment vertical="top" wrapText="1"/>
    </xf>
    <xf numFmtId="49" fontId="4" fillId="0" borderId="1" xfId="0" applyNumberFormat="1" applyFont="1" applyBorder="1" applyAlignment="1">
      <alignment horizontal="center" vertical="center" wrapText="1"/>
    </xf>
    <xf numFmtId="0" fontId="4" fillId="3" borderId="1" xfId="0" applyNumberFormat="1" applyFont="1" applyFill="1" applyBorder="1" applyAlignment="1">
      <alignment vertical="top" wrapText="1"/>
    </xf>
    <xf numFmtId="4" fontId="4" fillId="0" borderId="0" xfId="0" applyNumberFormat="1" applyFont="1" applyBorder="1" applyAlignment="1">
      <alignment wrapText="1"/>
    </xf>
    <xf numFmtId="0" fontId="4" fillId="3" borderId="1" xfId="0" applyNumberFormat="1" applyFont="1" applyFill="1" applyBorder="1" applyAlignment="1">
      <alignment wrapText="1"/>
    </xf>
    <xf numFmtId="0" fontId="4" fillId="3" borderId="1" xfId="0" applyNumberFormat="1" applyFont="1" applyFill="1" applyBorder="1" applyAlignment="1">
      <alignment vertical="center" wrapText="1"/>
    </xf>
    <xf numFmtId="0" fontId="15" fillId="0" borderId="0" xfId="0" applyNumberFormat="1" applyFont="1" applyBorder="1" applyAlignment="1">
      <alignment vertical="top"/>
    </xf>
    <xf numFmtId="0" fontId="4" fillId="0" borderId="0" xfId="0" applyNumberFormat="1" applyFont="1" applyBorder="1" applyAlignment="1">
      <alignment vertical="center"/>
    </xf>
    <xf numFmtId="2" fontId="4" fillId="0" borderId="6" xfId="0" applyNumberFormat="1" applyFont="1" applyBorder="1" applyAlignment="1">
      <alignment vertical="top"/>
    </xf>
    <xf numFmtId="2" fontId="4" fillId="0" borderId="7" xfId="0" applyNumberFormat="1" applyFont="1" applyBorder="1" applyAlignment="1">
      <alignment vertical="top"/>
    </xf>
    <xf numFmtId="2" fontId="4" fillId="0" borderId="8" xfId="0" applyNumberFormat="1" applyFont="1" applyBorder="1" applyAlignment="1">
      <alignment vertical="top"/>
    </xf>
    <xf numFmtId="4" fontId="4" fillId="0" borderId="1" xfId="0" applyNumberFormat="1" applyFont="1" applyBorder="1" applyAlignment="1">
      <alignment horizontal="center" vertical="center"/>
    </xf>
    <xf numFmtId="0" fontId="4" fillId="3" borderId="1" xfId="0" applyNumberFormat="1" applyFont="1" applyFill="1" applyBorder="1" applyAlignment="1">
      <alignment horizontal="left" vertical="top" wrapText="1"/>
    </xf>
    <xf numFmtId="4" fontId="4" fillId="0" borderId="1" xfId="0" applyNumberFormat="1" applyFont="1" applyBorder="1" applyAlignment="1">
      <alignment horizontal="center" wrapText="1"/>
    </xf>
    <xf numFmtId="3" fontId="4" fillId="0" borderId="1" xfId="0" applyNumberFormat="1" applyFont="1" applyBorder="1" applyAlignment="1">
      <alignment horizontal="center" vertical="center" wrapText="1"/>
    </xf>
    <xf numFmtId="0" fontId="8" fillId="0" borderId="0" xfId="0" applyNumberFormat="1" applyFont="1" applyBorder="1" applyAlignment="1">
      <alignment horizontal="left" wrapText="1"/>
    </xf>
    <xf numFmtId="0" fontId="5" fillId="0" borderId="0" xfId="0" applyNumberFormat="1" applyFont="1" applyBorder="1" applyAlignment="1">
      <alignment wrapText="1"/>
    </xf>
    <xf numFmtId="0" fontId="4" fillId="0" borderId="0" xfId="0" applyNumberFormat="1" applyFont="1" applyBorder="1" applyAlignment="1">
      <alignment horizontal="left"/>
    </xf>
    <xf numFmtId="0" fontId="4" fillId="0" borderId="1" xfId="0" applyNumberFormat="1" applyFont="1" applyBorder="1" applyAlignment="1">
      <alignment horizontal="center"/>
    </xf>
    <xf numFmtId="0" fontId="4" fillId="0" borderId="1" xfId="0" applyNumberFormat="1" applyFont="1" applyBorder="1" applyAlignment="1">
      <alignment horizontal="center" wrapText="1"/>
    </xf>
    <xf numFmtId="0" fontId="4" fillId="0" borderId="0" xfId="0" applyNumberFormat="1" applyFont="1" applyBorder="1" applyAlignment="1">
      <alignment horizontal="left"/>
    </xf>
    <xf numFmtId="0" fontId="4" fillId="0" borderId="0" xfId="0" applyNumberFormat="1" applyFont="1" applyBorder="1" applyAlignment="1">
      <alignment horizontal="center"/>
    </xf>
    <xf numFmtId="0" fontId="4" fillId="0" borderId="1" xfId="0" applyNumberFormat="1" applyFont="1" applyBorder="1" applyAlignment="1">
      <alignment horizontal="center" vertical="center" wrapText="1"/>
    </xf>
    <xf numFmtId="0" fontId="5" fillId="0" borderId="0" xfId="0" applyNumberFormat="1" applyFont="1" applyBorder="1" applyAlignment="1">
      <alignment horizontal="left"/>
    </xf>
    <xf numFmtId="0" fontId="4" fillId="0" borderId="0" xfId="0" applyNumberFormat="1" applyFont="1" applyBorder="1" applyAlignment="1">
      <alignment horizontal="left"/>
    </xf>
    <xf numFmtId="0" fontId="22" fillId="0" borderId="0" xfId="0" applyNumberFormat="1" applyFont="1" applyBorder="1" applyAlignment="1">
      <alignment horizontal="left"/>
    </xf>
    <xf numFmtId="0" fontId="22" fillId="0" borderId="0" xfId="0" applyNumberFormat="1" applyFont="1" applyBorder="1" applyAlignment="1"/>
    <xf numFmtId="0" fontId="22" fillId="0" borderId="0" xfId="0" applyNumberFormat="1" applyFont="1" applyBorder="1" applyAlignment="1">
      <alignment wrapText="1"/>
    </xf>
    <xf numFmtId="0" fontId="22" fillId="0" borderId="0" xfId="0" applyNumberFormat="1" applyFont="1" applyBorder="1" applyAlignment="1">
      <alignment horizontal="right"/>
    </xf>
    <xf numFmtId="0" fontId="22" fillId="0" borderId="0" xfId="0" applyNumberFormat="1" applyFont="1" applyFill="1" applyBorder="1" applyAlignment="1">
      <alignment horizontal="left"/>
    </xf>
    <xf numFmtId="0" fontId="4" fillId="0" borderId="0" xfId="0" applyNumberFormat="1" applyFont="1" applyBorder="1" applyAlignment="1">
      <alignment horizontal="left"/>
    </xf>
    <xf numFmtId="4" fontId="4" fillId="0" borderId="1" xfId="0" applyNumberFormat="1" applyFont="1" applyBorder="1" applyAlignment="1">
      <alignment horizontal="right" wrapText="1"/>
    </xf>
    <xf numFmtId="0" fontId="4" fillId="0" borderId="0" xfId="0" applyNumberFormat="1" applyFont="1" applyBorder="1" applyAlignment="1">
      <alignment horizontal="left"/>
    </xf>
    <xf numFmtId="0" fontId="4" fillId="0" borderId="0" xfId="0" applyNumberFormat="1" applyFont="1" applyBorder="1" applyAlignment="1">
      <alignment horizontal="left" wrapText="1"/>
    </xf>
    <xf numFmtId="0" fontId="5" fillId="0" borderId="0" xfId="0" applyNumberFormat="1" applyFont="1" applyBorder="1" applyAlignment="1">
      <alignment horizontal="center" wrapText="1"/>
    </xf>
    <xf numFmtId="0" fontId="14" fillId="0" borderId="0" xfId="0" applyNumberFormat="1" applyFont="1" applyBorder="1" applyAlignment="1">
      <alignment horizontal="center" vertical="top" wrapText="1"/>
    </xf>
    <xf numFmtId="49" fontId="4" fillId="0" borderId="1" xfId="0" applyNumberFormat="1" applyFont="1" applyBorder="1" applyAlignment="1">
      <alignment horizontal="center" vertical="center" wrapText="1"/>
    </xf>
    <xf numFmtId="0" fontId="14" fillId="0" borderId="0" xfId="0" applyNumberFormat="1" applyFont="1" applyBorder="1" applyAlignment="1">
      <alignment horizontal="center" wrapText="1"/>
    </xf>
    <xf numFmtId="0" fontId="5" fillId="0" borderId="0" xfId="0" applyNumberFormat="1" applyFont="1" applyBorder="1" applyAlignment="1">
      <alignment horizontal="left" wrapText="1"/>
    </xf>
    <xf numFmtId="0" fontId="8" fillId="0" borderId="0" xfId="0" applyNumberFormat="1" applyFont="1" applyBorder="1" applyAlignment="1">
      <alignment horizontal="center" vertical="center" wrapText="1"/>
    </xf>
    <xf numFmtId="0" fontId="8" fillId="0" borderId="0" xfId="0" applyNumberFormat="1" applyFont="1" applyBorder="1" applyAlignment="1">
      <alignment horizontal="center" vertical="top" wrapText="1"/>
    </xf>
    <xf numFmtId="0" fontId="4" fillId="0" borderId="1" xfId="0" applyNumberFormat="1" applyFont="1" applyBorder="1" applyAlignment="1">
      <alignment horizontal="center" vertical="center" wrapText="1"/>
    </xf>
    <xf numFmtId="0" fontId="4" fillId="0" borderId="1" xfId="0" applyNumberFormat="1" applyFont="1" applyBorder="1" applyAlignment="1">
      <alignment horizontal="center" wrapText="1"/>
    </xf>
    <xf numFmtId="0" fontId="4" fillId="0" borderId="0" xfId="0" applyNumberFormat="1" applyFont="1" applyBorder="1" applyAlignment="1">
      <alignment horizontal="left" wrapText="1"/>
    </xf>
    <xf numFmtId="0" fontId="4" fillId="0" borderId="1" xfId="0" applyNumberFormat="1" applyFont="1" applyFill="1" applyBorder="1" applyAlignment="1">
      <alignment horizontal="center"/>
    </xf>
    <xf numFmtId="0" fontId="4" fillId="0" borderId="1" xfId="0" applyNumberFormat="1" applyFont="1" applyFill="1" applyBorder="1" applyAlignment="1">
      <alignment horizontal="left"/>
    </xf>
    <xf numFmtId="4" fontId="4" fillId="3"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wrapText="1"/>
    </xf>
    <xf numFmtId="4" fontId="4" fillId="4" borderId="1" xfId="0" applyNumberFormat="1" applyFont="1" applyFill="1" applyBorder="1" applyAlignment="1">
      <alignment horizontal="left"/>
    </xf>
    <xf numFmtId="0" fontId="4" fillId="3" borderId="1" xfId="0" applyNumberFormat="1" applyFont="1" applyFill="1" applyBorder="1" applyAlignment="1"/>
    <xf numFmtId="0" fontId="4" fillId="0" borderId="0" xfId="0" applyNumberFormat="1" applyFont="1" applyBorder="1" applyAlignment="1">
      <alignment horizontal="left" wrapText="1"/>
    </xf>
    <xf numFmtId="0" fontId="4" fillId="0" borderId="1" xfId="0" applyNumberFormat="1" applyFont="1" applyBorder="1" applyAlignment="1">
      <alignment horizontal="center" wrapText="1"/>
    </xf>
    <xf numFmtId="0" fontId="4" fillId="0" borderId="1" xfId="0" applyNumberFormat="1" applyFont="1" applyBorder="1" applyAlignment="1">
      <alignment horizontal="center" vertical="center" wrapText="1"/>
    </xf>
    <xf numFmtId="4" fontId="6" fillId="0" borderId="1" xfId="0" applyNumberFormat="1" applyFont="1" applyBorder="1" applyAlignment="1">
      <alignment wrapText="1"/>
    </xf>
    <xf numFmtId="0" fontId="0" fillId="0" borderId="0" xfId="0" applyFill="1" applyBorder="1" applyAlignment="1">
      <alignment horizontal="center" vertical="center"/>
    </xf>
    <xf numFmtId="49" fontId="4" fillId="3" borderId="1" xfId="0" applyNumberFormat="1" applyFont="1" applyFill="1" applyBorder="1" applyAlignment="1">
      <alignment vertical="top" wrapText="1"/>
    </xf>
    <xf numFmtId="49" fontId="4" fillId="3" borderId="1" xfId="0" applyNumberFormat="1" applyFont="1" applyFill="1" applyBorder="1" applyAlignment="1" applyProtection="1">
      <alignment horizontal="center" vertical="center" wrapText="1"/>
    </xf>
    <xf numFmtId="0" fontId="23" fillId="3" borderId="11" xfId="0" applyNumberFormat="1" applyFont="1" applyFill="1" applyBorder="1" applyAlignment="1">
      <alignment horizontal="center" vertical="top" wrapText="1"/>
    </xf>
    <xf numFmtId="0" fontId="23" fillId="3" borderId="9" xfId="0" applyNumberFormat="1" applyFont="1" applyFill="1" applyBorder="1" applyAlignment="1">
      <alignment horizontal="center" vertical="top" wrapText="1"/>
    </xf>
    <xf numFmtId="0" fontId="23" fillId="3" borderId="12" xfId="0" applyNumberFormat="1" applyFont="1" applyFill="1" applyBorder="1" applyAlignment="1">
      <alignment horizontal="center" vertical="top" wrapText="1"/>
    </xf>
    <xf numFmtId="0" fontId="4" fillId="3" borderId="0" xfId="0" applyNumberFormat="1" applyFont="1" applyFill="1" applyBorder="1" applyAlignment="1">
      <alignment horizontal="left" wrapText="1"/>
    </xf>
    <xf numFmtId="49" fontId="4" fillId="3" borderId="0" xfId="0" applyNumberFormat="1" applyFont="1" applyFill="1" applyBorder="1" applyAlignment="1">
      <alignment vertical="top" wrapText="1"/>
    </xf>
    <xf numFmtId="0" fontId="4" fillId="3" borderId="0" xfId="0" applyNumberFormat="1" applyFont="1" applyFill="1" applyBorder="1" applyAlignment="1">
      <alignment horizontal="left" vertical="top" wrapText="1"/>
    </xf>
    <xf numFmtId="49" fontId="4" fillId="3" borderId="0" xfId="0" applyNumberFormat="1" applyFont="1" applyFill="1" applyBorder="1" applyAlignment="1">
      <alignment horizontal="center" vertical="top" wrapText="1"/>
    </xf>
    <xf numFmtId="4" fontId="4" fillId="3" borderId="0" xfId="0" applyNumberFormat="1" applyFont="1" applyFill="1" applyBorder="1" applyAlignment="1">
      <alignment horizontal="center" wrapText="1"/>
    </xf>
    <xf numFmtId="0" fontId="4" fillId="3" borderId="0" xfId="0" applyNumberFormat="1" applyFont="1" applyFill="1" applyBorder="1" applyAlignment="1">
      <alignment horizontal="center" wrapText="1"/>
    </xf>
    <xf numFmtId="0" fontId="5" fillId="3" borderId="0" xfId="0" applyNumberFormat="1" applyFont="1" applyFill="1" applyBorder="1" applyAlignment="1">
      <alignment horizontal="center" wrapText="1"/>
    </xf>
    <xf numFmtId="4" fontId="5" fillId="3" borderId="0" xfId="0" applyNumberFormat="1" applyFont="1" applyFill="1" applyBorder="1" applyAlignment="1">
      <alignment horizontal="center" wrapText="1"/>
    </xf>
    <xf numFmtId="49" fontId="4" fillId="8" borderId="1" xfId="0" applyNumberFormat="1" applyFont="1" applyFill="1" applyBorder="1" applyAlignment="1">
      <alignment vertical="top" wrapText="1"/>
    </xf>
    <xf numFmtId="49" fontId="4" fillId="8" borderId="1" xfId="0" applyNumberFormat="1" applyFont="1" applyFill="1" applyBorder="1" applyAlignment="1" applyProtection="1">
      <alignment horizontal="center" vertical="center" wrapText="1"/>
    </xf>
    <xf numFmtId="0" fontId="4" fillId="8" borderId="11" xfId="0" applyNumberFormat="1" applyFont="1" applyFill="1" applyBorder="1" applyAlignment="1">
      <alignment horizontal="left" vertical="top" wrapText="1"/>
    </xf>
    <xf numFmtId="0" fontId="4" fillId="8" borderId="9" xfId="0" applyNumberFormat="1" applyFont="1" applyFill="1" applyBorder="1" applyAlignment="1">
      <alignment horizontal="left" vertical="top" wrapText="1"/>
    </xf>
    <xf numFmtId="0" fontId="4" fillId="8" borderId="12" xfId="0" applyNumberFormat="1" applyFont="1" applyFill="1" applyBorder="1" applyAlignment="1">
      <alignment horizontal="left" vertical="top" wrapText="1"/>
    </xf>
    <xf numFmtId="0" fontId="4" fillId="8" borderId="11" xfId="0" applyNumberFormat="1" applyFont="1" applyFill="1" applyBorder="1" applyAlignment="1">
      <alignment horizontal="center" vertical="top" wrapText="1"/>
    </xf>
    <xf numFmtId="0" fontId="4" fillId="8" borderId="9" xfId="0" applyNumberFormat="1" applyFont="1" applyFill="1" applyBorder="1" applyAlignment="1">
      <alignment horizontal="center" vertical="top" wrapText="1"/>
    </xf>
    <xf numFmtId="0" fontId="4" fillId="8" borderId="12"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center" wrapText="1"/>
    </xf>
    <xf numFmtId="49" fontId="4" fillId="8" borderId="1" xfId="0" applyNumberFormat="1" applyFont="1" applyFill="1" applyBorder="1" applyAlignment="1">
      <alignment horizontal="center" vertical="center" wrapText="1"/>
    </xf>
    <xf numFmtId="49" fontId="4" fillId="3" borderId="1" xfId="0" applyNumberFormat="1" applyFont="1" applyFill="1" applyBorder="1" applyAlignment="1">
      <alignment wrapText="1"/>
    </xf>
    <xf numFmtId="49" fontId="4" fillId="8" borderId="1" xfId="0" applyNumberFormat="1" applyFont="1" applyFill="1" applyBorder="1" applyAlignment="1">
      <alignment wrapText="1"/>
    </xf>
    <xf numFmtId="49" fontId="4" fillId="3" borderId="1" xfId="0" applyNumberFormat="1" applyFont="1" applyFill="1" applyBorder="1" applyAlignment="1">
      <alignment horizontal="center" vertical="center" wrapText="1"/>
    </xf>
    <xf numFmtId="49" fontId="4" fillId="8" borderId="11" xfId="0" applyNumberFormat="1" applyFont="1" applyFill="1" applyBorder="1" applyAlignment="1">
      <alignment horizontal="center" vertical="center" wrapText="1"/>
    </xf>
    <xf numFmtId="49" fontId="4" fillId="3" borderId="11" xfId="0" applyNumberFormat="1" applyFont="1" applyFill="1" applyBorder="1" applyAlignment="1">
      <alignment horizontal="center" vertical="center" wrapText="1"/>
    </xf>
    <xf numFmtId="49" fontId="22" fillId="8" borderId="11" xfId="0" applyNumberFormat="1" applyFont="1" applyFill="1" applyBorder="1" applyAlignment="1">
      <alignment horizontal="center" wrapText="1"/>
    </xf>
    <xf numFmtId="49" fontId="22" fillId="8" borderId="12" xfId="0" applyNumberFormat="1" applyFont="1" applyFill="1" applyBorder="1" applyAlignment="1">
      <alignment horizontal="center" wrapText="1"/>
    </xf>
    <xf numFmtId="0" fontId="4" fillId="0" borderId="0" xfId="0" applyNumberFormat="1" applyFont="1" applyBorder="1" applyAlignment="1">
      <alignment horizontal="left" vertical="center"/>
    </xf>
    <xf numFmtId="0" fontId="4" fillId="0" borderId="0" xfId="0" applyNumberFormat="1" applyFont="1" applyBorder="1" applyAlignment="1">
      <alignment horizontal="left" vertical="center" wrapText="1"/>
    </xf>
    <xf numFmtId="0" fontId="4" fillId="3" borderId="1" xfId="2" applyFont="1" applyFill="1" applyBorder="1" applyAlignment="1">
      <alignment horizontal="left" vertical="center" wrapText="1"/>
    </xf>
    <xf numFmtId="0" fontId="4" fillId="0" borderId="1" xfId="0" applyNumberFormat="1" applyFont="1" applyBorder="1" applyAlignment="1">
      <alignment horizontal="right" vertical="center" wrapText="1"/>
    </xf>
    <xf numFmtId="0" fontId="4" fillId="0" borderId="0" xfId="0" applyNumberFormat="1" applyFont="1" applyBorder="1" applyAlignment="1">
      <alignment horizontal="left" wrapText="1"/>
    </xf>
    <xf numFmtId="0" fontId="22" fillId="0" borderId="0" xfId="0" applyNumberFormat="1" applyFont="1" applyBorder="1" applyAlignment="1">
      <alignment horizontal="left" wrapText="1"/>
    </xf>
    <xf numFmtId="0" fontId="4" fillId="0" borderId="0" xfId="0" applyNumberFormat="1" applyFont="1" applyBorder="1" applyAlignment="1">
      <alignment horizontal="left"/>
    </xf>
    <xf numFmtId="0" fontId="4" fillId="0" borderId="0" xfId="0" applyNumberFormat="1" applyFont="1" applyBorder="1" applyAlignment="1">
      <alignment horizontal="left" wrapText="1"/>
    </xf>
    <xf numFmtId="0" fontId="5" fillId="3" borderId="0" xfId="0" applyNumberFormat="1" applyFont="1" applyFill="1" applyBorder="1" applyAlignment="1">
      <alignment horizontal="center" wrapText="1"/>
    </xf>
    <xf numFmtId="0" fontId="5" fillId="0" borderId="0" xfId="0" applyNumberFormat="1" applyFont="1" applyBorder="1" applyAlignment="1">
      <alignment horizontal="center" wrapText="1"/>
    </xf>
    <xf numFmtId="0" fontId="14" fillId="0" borderId="0" xfId="0" applyNumberFormat="1" applyFont="1" applyBorder="1" applyAlignment="1">
      <alignment horizontal="center" vertical="top" wrapText="1"/>
    </xf>
    <xf numFmtId="0" fontId="5" fillId="0" borderId="0" xfId="0" applyNumberFormat="1" applyFont="1" applyBorder="1" applyAlignment="1">
      <alignment horizontal="left" wrapText="1"/>
    </xf>
    <xf numFmtId="1" fontId="24" fillId="0" borderId="1" xfId="2" applyNumberFormat="1" applyFont="1" applyBorder="1" applyAlignment="1">
      <alignment horizontal="left" vertical="center" wrapText="1"/>
    </xf>
    <xf numFmtId="49" fontId="4" fillId="0" borderId="1" xfId="2" applyNumberFormat="1" applyFont="1" applyBorder="1" applyAlignment="1"/>
    <xf numFmtId="4" fontId="4" fillId="0" borderId="1" xfId="2" applyNumberFormat="1" applyFont="1" applyBorder="1" applyAlignment="1">
      <alignment horizontal="right"/>
    </xf>
    <xf numFmtId="4" fontId="4" fillId="0" borderId="1" xfId="2" applyNumberFormat="1" applyFont="1" applyBorder="1" applyAlignment="1"/>
    <xf numFmtId="0" fontId="4" fillId="0" borderId="1" xfId="2" applyNumberFormat="1" applyFont="1" applyBorder="1" applyAlignment="1"/>
    <xf numFmtId="0" fontId="6" fillId="0" borderId="1" xfId="2" applyNumberFormat="1" applyFont="1" applyBorder="1" applyAlignment="1"/>
    <xf numFmtId="4" fontId="6" fillId="0" borderId="1" xfId="2" applyNumberFormat="1" applyFont="1" applyBorder="1" applyAlignment="1"/>
    <xf numFmtId="0" fontId="7" fillId="3" borderId="0" xfId="0" applyNumberFormat="1" applyFont="1" applyFill="1" applyBorder="1" applyAlignment="1">
      <alignment horizontal="left"/>
    </xf>
    <xf numFmtId="4" fontId="4" fillId="0" borderId="0" xfId="0" applyNumberFormat="1" applyFont="1" applyFill="1" applyBorder="1" applyAlignment="1">
      <alignment horizontal="center" wrapText="1"/>
    </xf>
    <xf numFmtId="4" fontId="22" fillId="0" borderId="0" xfId="0" applyNumberFormat="1" applyFont="1" applyFill="1" applyBorder="1" applyAlignment="1">
      <alignment horizontal="left" wrapText="1"/>
    </xf>
    <xf numFmtId="4" fontId="22" fillId="0" borderId="0" xfId="0" applyNumberFormat="1" applyFont="1" applyBorder="1" applyAlignment="1">
      <alignment horizontal="left"/>
    </xf>
    <xf numFmtId="4" fontId="22" fillId="0" borderId="1" xfId="0" applyNumberFormat="1" applyFont="1" applyBorder="1" applyAlignment="1">
      <alignment horizontal="left"/>
    </xf>
    <xf numFmtId="0" fontId="22" fillId="0" borderId="0" xfId="0" applyNumberFormat="1" applyFont="1" applyFill="1" applyBorder="1" applyAlignment="1">
      <alignment horizontal="left" wrapText="1"/>
    </xf>
    <xf numFmtId="4" fontId="22" fillId="0" borderId="0" xfId="0" applyNumberFormat="1" applyFont="1" applyFill="1" applyBorder="1" applyAlignment="1">
      <alignment horizontal="center" wrapText="1"/>
    </xf>
    <xf numFmtId="4" fontId="22" fillId="0" borderId="0" xfId="0" applyNumberFormat="1" applyFont="1" applyBorder="1" applyAlignment="1">
      <alignment horizontal="left" wrapText="1"/>
    </xf>
    <xf numFmtId="4" fontId="5" fillId="3" borderId="0" xfId="0" applyNumberFormat="1" applyFont="1" applyFill="1" applyBorder="1" applyAlignment="1">
      <alignment horizontal="left" wrapText="1"/>
    </xf>
    <xf numFmtId="0" fontId="4" fillId="0" borderId="29" xfId="0" applyNumberFormat="1" applyFont="1" applyBorder="1" applyAlignment="1">
      <alignment vertical="top" wrapText="1"/>
    </xf>
    <xf numFmtId="0" fontId="8" fillId="0" borderId="0" xfId="0" applyNumberFormat="1" applyFont="1" applyBorder="1" applyAlignment="1">
      <alignment wrapText="1"/>
    </xf>
    <xf numFmtId="0" fontId="11" fillId="0" borderId="0" xfId="0" applyNumberFormat="1" applyFont="1" applyBorder="1" applyAlignment="1">
      <alignment wrapText="1"/>
    </xf>
    <xf numFmtId="0" fontId="8" fillId="0" borderId="18" xfId="0" applyNumberFormat="1" applyFont="1" applyBorder="1" applyAlignment="1">
      <alignment vertical="center" wrapText="1"/>
    </xf>
    <xf numFmtId="49" fontId="8" fillId="0" borderId="0" xfId="0" applyNumberFormat="1" applyFont="1" applyBorder="1" applyAlignment="1">
      <alignment wrapText="1"/>
    </xf>
    <xf numFmtId="49" fontId="19" fillId="0" borderId="0" xfId="0" applyNumberFormat="1" applyFont="1" applyBorder="1" applyAlignment="1">
      <alignment wrapText="1"/>
    </xf>
    <xf numFmtId="49" fontId="19" fillId="0" borderId="0" xfId="0" applyNumberFormat="1" applyFont="1" applyBorder="1" applyAlignment="1">
      <alignment horizontal="left" wrapText="1"/>
    </xf>
    <xf numFmtId="49" fontId="19" fillId="0" borderId="5" xfId="0" applyNumberFormat="1" applyFont="1" applyBorder="1" applyAlignment="1">
      <alignment wrapText="1"/>
    </xf>
    <xf numFmtId="0" fontId="8" fillId="0" borderId="0" xfId="0" applyNumberFormat="1" applyFont="1" applyBorder="1" applyAlignment="1">
      <alignment vertical="center" wrapText="1"/>
    </xf>
    <xf numFmtId="0" fontId="4" fillId="6" borderId="0" xfId="0" applyNumberFormat="1" applyFont="1" applyFill="1" applyBorder="1" applyAlignment="1">
      <alignment horizontal="center" wrapText="1"/>
    </xf>
    <xf numFmtId="0" fontId="8" fillId="0" borderId="0" xfId="0" applyNumberFormat="1" applyFont="1" applyBorder="1" applyAlignment="1">
      <alignment vertical="top" wrapText="1"/>
    </xf>
    <xf numFmtId="0" fontId="5" fillId="0" borderId="4" xfId="0" applyNumberFormat="1" applyFont="1" applyBorder="1" applyAlignment="1">
      <alignment vertical="top" wrapText="1"/>
    </xf>
    <xf numFmtId="0" fontId="5" fillId="0" borderId="15" xfId="0" applyNumberFormat="1" applyFont="1" applyBorder="1" applyAlignment="1">
      <alignment vertical="top" wrapText="1"/>
    </xf>
    <xf numFmtId="0" fontId="5" fillId="3" borderId="0" xfId="0" applyNumberFormat="1" applyFont="1" applyFill="1" applyBorder="1" applyAlignment="1">
      <alignment wrapText="1"/>
    </xf>
    <xf numFmtId="4" fontId="22" fillId="3" borderId="0" xfId="0" applyNumberFormat="1" applyFont="1" applyFill="1" applyBorder="1" applyAlignment="1">
      <alignment wrapText="1"/>
    </xf>
    <xf numFmtId="4" fontId="22" fillId="8" borderId="0" xfId="0" applyNumberFormat="1" applyFont="1" applyFill="1" applyBorder="1" applyAlignment="1">
      <alignment wrapText="1"/>
    </xf>
    <xf numFmtId="4" fontId="22" fillId="6" borderId="0" xfId="0" applyNumberFormat="1" applyFont="1" applyFill="1" applyBorder="1" applyAlignment="1" applyProtection="1">
      <alignment wrapText="1"/>
    </xf>
    <xf numFmtId="49" fontId="4" fillId="0" borderId="29" xfId="0" applyNumberFormat="1" applyFont="1" applyBorder="1" applyAlignment="1">
      <alignment vertical="center" wrapText="1"/>
    </xf>
    <xf numFmtId="49" fontId="4" fillId="0" borderId="0" xfId="0" applyNumberFormat="1" applyFont="1" applyBorder="1" applyAlignment="1">
      <alignment vertical="center" wrapText="1"/>
    </xf>
    <xf numFmtId="0" fontId="22" fillId="3" borderId="0" xfId="0" applyNumberFormat="1" applyFont="1" applyFill="1" applyBorder="1" applyAlignment="1">
      <alignment wrapText="1"/>
    </xf>
    <xf numFmtId="4" fontId="22" fillId="8" borderId="0" xfId="0" applyNumberFormat="1" applyFont="1" applyFill="1" applyBorder="1" applyAlignment="1">
      <alignment vertical="top" wrapText="1"/>
    </xf>
    <xf numFmtId="0" fontId="22" fillId="8" borderId="0" xfId="0" applyNumberFormat="1" applyFont="1" applyFill="1" applyBorder="1" applyAlignment="1">
      <alignment wrapText="1"/>
    </xf>
    <xf numFmtId="4" fontId="4" fillId="3" borderId="29" xfId="0" applyNumberFormat="1" applyFont="1" applyFill="1" applyBorder="1" applyAlignment="1">
      <alignment wrapText="1"/>
    </xf>
    <xf numFmtId="4" fontId="4" fillId="3" borderId="0" xfId="0" applyNumberFormat="1" applyFont="1" applyFill="1" applyBorder="1" applyAlignment="1">
      <alignment wrapText="1"/>
    </xf>
    <xf numFmtId="4" fontId="4" fillId="8" borderId="0" xfId="0" applyNumberFormat="1" applyFont="1" applyFill="1" applyBorder="1" applyAlignment="1">
      <alignment vertical="top" wrapText="1"/>
    </xf>
    <xf numFmtId="4" fontId="4" fillId="8" borderId="29" xfId="0" applyNumberFormat="1" applyFont="1" applyFill="1" applyBorder="1" applyAlignment="1">
      <alignment wrapText="1"/>
    </xf>
    <xf numFmtId="4" fontId="4" fillId="8" borderId="0" xfId="0" applyNumberFormat="1" applyFont="1" applyFill="1" applyBorder="1" applyAlignment="1">
      <alignment wrapText="1"/>
    </xf>
    <xf numFmtId="4" fontId="4" fillId="6" borderId="0" xfId="0" applyNumberFormat="1" applyFont="1" applyFill="1" applyBorder="1" applyAlignment="1" applyProtection="1">
      <alignment wrapText="1"/>
    </xf>
    <xf numFmtId="0" fontId="4" fillId="0" borderId="0" xfId="0" applyNumberFormat="1" applyFont="1" applyBorder="1" applyAlignment="1">
      <alignment horizontal="left" wrapText="1"/>
    </xf>
    <xf numFmtId="4" fontId="4" fillId="3" borderId="0" xfId="0" applyNumberFormat="1" applyFont="1" applyFill="1" applyBorder="1" applyAlignment="1">
      <alignment horizontal="left" wrapText="1"/>
    </xf>
    <xf numFmtId="4" fontId="4" fillId="8" borderId="0" xfId="0" applyNumberFormat="1" applyFont="1" applyFill="1" applyBorder="1" applyAlignment="1">
      <alignment horizontal="left" wrapText="1"/>
    </xf>
    <xf numFmtId="4" fontId="4" fillId="3" borderId="29" xfId="0" applyNumberFormat="1" applyFont="1" applyFill="1" applyBorder="1" applyAlignment="1">
      <alignment horizontal="center" wrapText="1"/>
    </xf>
    <xf numFmtId="4" fontId="4" fillId="8" borderId="29" xfId="0" applyNumberFormat="1" applyFont="1" applyFill="1" applyBorder="1" applyAlignment="1">
      <alignment horizontal="center" wrapText="1"/>
    </xf>
    <xf numFmtId="4" fontId="4" fillId="6" borderId="29" xfId="0" applyNumberFormat="1" applyFont="1" applyFill="1" applyBorder="1" applyAlignment="1" applyProtection="1">
      <alignment horizontal="center" wrapText="1"/>
    </xf>
    <xf numFmtId="4" fontId="22" fillId="8" borderId="29" xfId="0" applyNumberFormat="1" applyFont="1" applyFill="1" applyBorder="1" applyAlignment="1">
      <alignment wrapText="1"/>
    </xf>
    <xf numFmtId="4" fontId="22" fillId="3" borderId="29" xfId="0" applyNumberFormat="1" applyFont="1" applyFill="1" applyBorder="1" applyAlignment="1">
      <alignment wrapText="1"/>
    </xf>
    <xf numFmtId="0" fontId="22" fillId="0" borderId="0" xfId="0" applyNumberFormat="1" applyFont="1" applyBorder="1" applyAlignment="1">
      <alignment horizontal="left"/>
    </xf>
    <xf numFmtId="4" fontId="4" fillId="0" borderId="0" xfId="0" quotePrefix="1" applyNumberFormat="1" applyFont="1" applyBorder="1" applyAlignment="1">
      <alignment horizontal="left"/>
    </xf>
    <xf numFmtId="4" fontId="4" fillId="0" borderId="1" xfId="0" quotePrefix="1" applyNumberFormat="1" applyFont="1" applyBorder="1" applyAlignment="1">
      <alignment horizontal="right" vertical="center" wrapText="1"/>
    </xf>
    <xf numFmtId="4" fontId="4" fillId="6" borderId="1" xfId="0" quotePrefix="1" applyNumberFormat="1" applyFont="1" applyFill="1" applyBorder="1" applyAlignment="1"/>
    <xf numFmtId="4" fontId="4" fillId="0" borderId="0" xfId="0" quotePrefix="1" applyNumberFormat="1" applyFont="1" applyBorder="1" applyAlignment="1">
      <alignment horizontal="left" wrapText="1"/>
    </xf>
    <xf numFmtId="4" fontId="0" fillId="0" borderId="1" xfId="0" quotePrefix="1" applyNumberFormat="1" applyBorder="1"/>
    <xf numFmtId="4" fontId="0" fillId="6" borderId="1" xfId="0" quotePrefix="1" applyNumberFormat="1" applyFill="1" applyBorder="1"/>
    <xf numFmtId="0" fontId="4" fillId="0" borderId="0" xfId="0" applyNumberFormat="1" applyFont="1" applyBorder="1" applyAlignment="1">
      <alignment horizontal="left"/>
    </xf>
    <xf numFmtId="43" fontId="4" fillId="0" borderId="0" xfId="0" applyNumberFormat="1" applyFont="1" applyBorder="1" applyAlignment="1">
      <alignment wrapText="1"/>
    </xf>
    <xf numFmtId="4" fontId="4" fillId="6" borderId="1" xfId="0" applyNumberFormat="1" applyFont="1" applyFill="1" applyBorder="1" applyAlignment="1"/>
    <xf numFmtId="0" fontId="4" fillId="0" borderId="1" xfId="0" applyNumberFormat="1" applyFont="1" applyBorder="1" applyAlignment="1">
      <alignment horizontal="left" wrapText="1"/>
    </xf>
    <xf numFmtId="4" fontId="4" fillId="0" borderId="1" xfId="0" applyNumberFormat="1" applyFont="1" applyBorder="1" applyAlignment="1">
      <alignment horizontal="right"/>
    </xf>
    <xf numFmtId="4" fontId="4" fillId="0" borderId="1" xfId="0" applyNumberFormat="1" applyFont="1" applyFill="1" applyBorder="1" applyAlignment="1">
      <alignment horizontal="right"/>
    </xf>
    <xf numFmtId="1" fontId="4" fillId="0" borderId="1" xfId="0" applyNumberFormat="1" applyFont="1" applyBorder="1" applyAlignment="1">
      <alignment horizontal="right"/>
    </xf>
    <xf numFmtId="0" fontId="4" fillId="0" borderId="1" xfId="0" applyNumberFormat="1" applyFont="1" applyBorder="1" applyAlignment="1">
      <alignment horizontal="right"/>
    </xf>
    <xf numFmtId="0" fontId="4" fillId="0" borderId="1" xfId="0" applyNumberFormat="1" applyFont="1" applyBorder="1" applyAlignment="1">
      <alignment horizontal="right" wrapText="1"/>
    </xf>
    <xf numFmtId="4" fontId="4" fillId="0" borderId="0" xfId="0" applyNumberFormat="1" applyFont="1" applyBorder="1" applyAlignment="1">
      <alignment vertical="top"/>
    </xf>
    <xf numFmtId="4" fontId="4" fillId="0" borderId="0" xfId="0" applyNumberFormat="1" applyFont="1" applyBorder="1" applyAlignment="1">
      <alignment vertical="center"/>
    </xf>
    <xf numFmtId="4" fontId="4" fillId="0" borderId="0" xfId="0" applyNumberFormat="1" applyFont="1" applyBorder="1" applyAlignment="1">
      <alignment horizontal="left" vertical="center"/>
    </xf>
    <xf numFmtId="4" fontId="4" fillId="0" borderId="0" xfId="0" applyNumberFormat="1" applyFont="1" applyBorder="1" applyAlignment="1">
      <alignment horizontal="center"/>
    </xf>
    <xf numFmtId="1" fontId="24" fillId="0" borderId="0" xfId="2" applyNumberFormat="1" applyFont="1" applyBorder="1" applyAlignment="1">
      <alignment horizontal="left" vertical="center" wrapText="1"/>
    </xf>
    <xf numFmtId="49" fontId="4" fillId="0" borderId="0" xfId="2" applyNumberFormat="1" applyFont="1" applyBorder="1" applyAlignment="1"/>
    <xf numFmtId="4" fontId="4" fillId="0" borderId="0" xfId="2" applyNumberFormat="1" applyFont="1" applyBorder="1" applyAlignment="1">
      <alignment horizontal="right"/>
    </xf>
    <xf numFmtId="4" fontId="4" fillId="0" borderId="0" xfId="2" applyNumberFormat="1" applyFont="1" applyBorder="1" applyAlignment="1"/>
    <xf numFmtId="4" fontId="1" fillId="0" borderId="0" xfId="2" applyNumberFormat="1" applyBorder="1"/>
    <xf numFmtId="0" fontId="4" fillId="0" borderId="0" xfId="2" applyNumberFormat="1" applyFont="1" applyBorder="1" applyAlignment="1"/>
    <xf numFmtId="0" fontId="4" fillId="0" borderId="0" xfId="2" applyNumberFormat="1" applyFont="1" applyBorder="1" applyAlignment="1">
      <alignment wrapText="1"/>
    </xf>
    <xf numFmtId="0" fontId="6" fillId="0" borderId="0" xfId="2" applyNumberFormat="1" applyFont="1" applyBorder="1" applyAlignment="1"/>
    <xf numFmtId="4" fontId="6" fillId="0" borderId="0" xfId="2" applyNumberFormat="1" applyFont="1" applyBorder="1" applyAlignment="1"/>
    <xf numFmtId="0" fontId="4" fillId="0" borderId="1" xfId="2" applyNumberFormat="1" applyFont="1" applyBorder="1" applyAlignment="1">
      <alignment horizontal="center" vertical="center" wrapText="1"/>
    </xf>
    <xf numFmtId="4" fontId="4" fillId="6" borderId="1" xfId="2" applyNumberFormat="1" applyFont="1" applyFill="1" applyBorder="1"/>
    <xf numFmtId="0" fontId="22" fillId="0" borderId="0" xfId="0" applyNumberFormat="1" applyFont="1" applyBorder="1" applyAlignment="1">
      <alignment horizontal="left"/>
    </xf>
    <xf numFmtId="0" fontId="22" fillId="0" borderId="1" xfId="0" applyNumberFormat="1" applyFont="1" applyBorder="1" applyAlignment="1">
      <alignment horizontal="left"/>
    </xf>
    <xf numFmtId="4" fontId="22" fillId="6" borderId="1" xfId="0" applyNumberFormat="1" applyFont="1" applyFill="1" applyBorder="1" applyAlignment="1">
      <alignment horizontal="left"/>
    </xf>
    <xf numFmtId="4" fontId="22" fillId="0" borderId="1" xfId="0" applyNumberFormat="1" applyFont="1" applyFill="1" applyBorder="1" applyAlignment="1">
      <alignment horizontal="left"/>
    </xf>
    <xf numFmtId="0" fontId="22" fillId="7" borderId="1" xfId="0" applyNumberFormat="1" applyFont="1" applyFill="1" applyBorder="1" applyAlignment="1">
      <alignment horizontal="left"/>
    </xf>
    <xf numFmtId="4" fontId="22" fillId="7" borderId="1" xfId="0" applyNumberFormat="1" applyFont="1" applyFill="1" applyBorder="1" applyAlignment="1">
      <alignment horizontal="left"/>
    </xf>
    <xf numFmtId="4" fontId="22" fillId="3" borderId="1" xfId="0" applyNumberFormat="1" applyFont="1" applyFill="1" applyBorder="1" applyAlignment="1">
      <alignment horizontal="left"/>
    </xf>
    <xf numFmtId="0" fontId="22" fillId="3" borderId="1" xfId="0" applyNumberFormat="1" applyFont="1" applyFill="1" applyBorder="1" applyAlignment="1">
      <alignment horizontal="left"/>
    </xf>
    <xf numFmtId="4" fontId="22" fillId="0" borderId="1" xfId="0" applyNumberFormat="1" applyFont="1" applyBorder="1" applyAlignment="1">
      <alignment horizontal="center"/>
    </xf>
    <xf numFmtId="2" fontId="22" fillId="3" borderId="1" xfId="0" applyNumberFormat="1" applyFont="1" applyFill="1" applyBorder="1" applyAlignment="1">
      <alignment horizontal="left"/>
    </xf>
    <xf numFmtId="49" fontId="22" fillId="3" borderId="1" xfId="0" applyNumberFormat="1" applyFont="1" applyFill="1" applyBorder="1" applyAlignment="1">
      <alignment horizontal="center" vertical="center" wrapText="1"/>
    </xf>
    <xf numFmtId="49" fontId="22" fillId="3" borderId="11" xfId="0" applyNumberFormat="1" applyFont="1" applyFill="1" applyBorder="1" applyAlignment="1">
      <alignment horizontal="center" vertical="center" wrapText="1"/>
    </xf>
    <xf numFmtId="49" fontId="22" fillId="3" borderId="1" xfId="0" applyNumberFormat="1" applyFont="1" applyFill="1" applyBorder="1" applyAlignment="1">
      <alignment wrapText="1"/>
    </xf>
    <xf numFmtId="0" fontId="22" fillId="0" borderId="0" xfId="0" applyNumberFormat="1" applyFont="1" applyBorder="1" applyAlignment="1">
      <alignment horizontal="left"/>
    </xf>
    <xf numFmtId="0" fontId="4" fillId="0" borderId="0" xfId="0" applyNumberFormat="1" applyFont="1" applyBorder="1" applyAlignment="1">
      <alignment horizontal="left" wrapText="1"/>
    </xf>
    <xf numFmtId="4" fontId="4" fillId="3" borderId="1" xfId="0" quotePrefix="1" applyNumberFormat="1" applyFont="1" applyFill="1" applyBorder="1" applyAlignment="1">
      <alignment horizontal="center" vertical="center" wrapText="1"/>
    </xf>
    <xf numFmtId="4" fontId="4" fillId="0" borderId="1" xfId="0" applyNumberFormat="1" applyFont="1" applyBorder="1" applyAlignment="1">
      <alignment horizontal="center"/>
    </xf>
    <xf numFmtId="4" fontId="28" fillId="3" borderId="0" xfId="0" applyNumberFormat="1" applyFont="1" applyFill="1" applyBorder="1" applyAlignment="1">
      <alignment horizontal="left"/>
    </xf>
    <xf numFmtId="0" fontId="4" fillId="0" borderId="1" xfId="0" applyNumberFormat="1" applyFont="1" applyBorder="1" applyAlignment="1">
      <alignment horizontal="left" wrapText="1"/>
    </xf>
    <xf numFmtId="0" fontId="4" fillId="0" borderId="1" xfId="0" applyNumberFormat="1" applyFont="1" applyBorder="1" applyAlignment="1">
      <alignment horizontal="center" wrapText="1"/>
    </xf>
    <xf numFmtId="0" fontId="4" fillId="0" borderId="1" xfId="0" applyNumberFormat="1" applyFont="1" applyBorder="1" applyAlignment="1">
      <alignment horizontal="center" vertical="top" wrapText="1"/>
    </xf>
    <xf numFmtId="0" fontId="4" fillId="0" borderId="1" xfId="0" applyNumberFormat="1" applyFont="1" applyBorder="1" applyAlignment="1">
      <alignment horizontal="center" vertical="center" wrapText="1"/>
    </xf>
    <xf numFmtId="4" fontId="5" fillId="0" borderId="0" xfId="0" applyNumberFormat="1" applyFont="1" applyBorder="1" applyAlignment="1">
      <alignment wrapText="1"/>
    </xf>
    <xf numFmtId="4" fontId="4" fillId="6" borderId="1" xfId="0" quotePrefix="1" applyNumberFormat="1" applyFont="1" applyFill="1" applyBorder="1" applyAlignment="1">
      <alignment wrapText="1"/>
    </xf>
    <xf numFmtId="0" fontId="6" fillId="0" borderId="1" xfId="0" applyNumberFormat="1" applyFont="1" applyBorder="1" applyAlignment="1">
      <alignment horizontal="center" vertical="center"/>
    </xf>
    <xf numFmtId="0" fontId="6" fillId="0" borderId="1" xfId="0" applyNumberFormat="1" applyFont="1" applyBorder="1" applyAlignment="1">
      <alignment horizontal="right" vertical="center" wrapText="1"/>
    </xf>
    <xf numFmtId="0" fontId="7" fillId="0" borderId="1" xfId="0" applyNumberFormat="1" applyFont="1" applyBorder="1" applyAlignment="1">
      <alignment horizontal="center" vertical="center" wrapText="1"/>
    </xf>
    <xf numFmtId="0" fontId="7" fillId="0" borderId="1" xfId="2" applyNumberFormat="1" applyFont="1" applyBorder="1" applyAlignment="1">
      <alignment horizontal="center"/>
    </xf>
    <xf numFmtId="0" fontId="29" fillId="0" borderId="1" xfId="0" applyFont="1" applyBorder="1" applyAlignment="1">
      <alignment horizontal="center"/>
    </xf>
    <xf numFmtId="0" fontId="30" fillId="0" borderId="1" xfId="0" applyFont="1" applyBorder="1" applyAlignment="1">
      <alignment horizontal="center" vertical="center"/>
    </xf>
    <xf numFmtId="0" fontId="4" fillId="0" borderId="1" xfId="0" applyNumberFormat="1" applyFont="1" applyBorder="1" applyAlignment="1">
      <alignment horizontal="center" vertical="center" wrapText="1"/>
    </xf>
    <xf numFmtId="0" fontId="4" fillId="4" borderId="1" xfId="0" applyNumberFormat="1" applyFont="1" applyFill="1" applyBorder="1" applyAlignment="1">
      <alignment horizontal="left"/>
    </xf>
    <xf numFmtId="4" fontId="4" fillId="6" borderId="1" xfId="0" quotePrefix="1" applyNumberFormat="1" applyFont="1" applyFill="1" applyBorder="1" applyAlignment="1">
      <alignment horizontal="right" wrapText="1"/>
    </xf>
    <xf numFmtId="4" fontId="4" fillId="6" borderId="1" xfId="0" applyNumberFormat="1" applyFont="1" applyFill="1" applyBorder="1" applyAlignment="1">
      <alignment horizontal="right"/>
    </xf>
    <xf numFmtId="4" fontId="4" fillId="0" borderId="0" xfId="0" applyNumberFormat="1" applyFont="1" applyBorder="1" applyAlignment="1">
      <alignment vertical="top" wrapText="1"/>
    </xf>
    <xf numFmtId="0" fontId="31" fillId="0" borderId="0" xfId="0" applyNumberFormat="1" applyFont="1" applyBorder="1" applyAlignment="1">
      <alignment horizontal="center"/>
    </xf>
    <xf numFmtId="49" fontId="31" fillId="0" borderId="11" xfId="0" applyNumberFormat="1" applyFont="1" applyBorder="1" applyAlignment="1">
      <alignment horizontal="center" vertical="center" wrapText="1"/>
    </xf>
    <xf numFmtId="49" fontId="31" fillId="0" borderId="1" xfId="0" applyNumberFormat="1" applyFont="1" applyBorder="1" applyAlignment="1">
      <alignment horizontal="center" vertical="center" wrapText="1"/>
    </xf>
    <xf numFmtId="0" fontId="4" fillId="0" borderId="0" xfId="0" applyNumberFormat="1" applyFont="1" applyBorder="1" applyAlignment="1">
      <alignment horizontal="left" wrapText="1"/>
    </xf>
    <xf numFmtId="49" fontId="8" fillId="0" borderId="15" xfId="0" applyNumberFormat="1" applyFont="1" applyBorder="1" applyAlignment="1">
      <alignment horizontal="right" wrapText="1"/>
    </xf>
    <xf numFmtId="49" fontId="8" fillId="0" borderId="0" xfId="0" applyNumberFormat="1" applyFont="1" applyBorder="1" applyAlignment="1">
      <alignment horizontal="right" wrapText="1"/>
    </xf>
    <xf numFmtId="49" fontId="4" fillId="0" borderId="1" xfId="0" applyNumberFormat="1" applyFont="1" applyFill="1" applyBorder="1" applyAlignment="1">
      <alignment horizontal="center"/>
    </xf>
    <xf numFmtId="4" fontId="4" fillId="8" borderId="1" xfId="0" applyNumberFormat="1" applyFont="1" applyFill="1" applyBorder="1" applyAlignment="1"/>
    <xf numFmtId="4" fontId="4" fillId="9" borderId="1" xfId="0" applyNumberFormat="1" applyFont="1" applyFill="1" applyBorder="1" applyAlignment="1"/>
    <xf numFmtId="1" fontId="32" fillId="10" borderId="1" xfId="0" applyNumberFormat="1" applyFont="1" applyFill="1" applyBorder="1" applyAlignment="1">
      <alignment horizontal="left" vertical="center"/>
    </xf>
    <xf numFmtId="4" fontId="7" fillId="0" borderId="1" xfId="2" applyNumberFormat="1" applyFont="1" applyBorder="1" applyAlignment="1">
      <alignment horizontal="center"/>
    </xf>
    <xf numFmtId="0" fontId="22" fillId="0" borderId="0" xfId="0" applyNumberFormat="1" applyFont="1" applyBorder="1" applyAlignment="1">
      <alignment horizontal="left"/>
    </xf>
    <xf numFmtId="0" fontId="22" fillId="0" borderId="0" xfId="0" applyNumberFormat="1" applyFont="1" applyBorder="1" applyAlignment="1">
      <alignment horizontal="left" wrapText="1"/>
    </xf>
    <xf numFmtId="4" fontId="22" fillId="8" borderId="0" xfId="0" applyNumberFormat="1" applyFont="1" applyFill="1" applyBorder="1" applyAlignment="1">
      <alignment horizontal="center" wrapText="1"/>
    </xf>
    <xf numFmtId="0" fontId="22" fillId="8" borderId="0" xfId="0" applyNumberFormat="1" applyFont="1" applyFill="1" applyBorder="1" applyAlignment="1">
      <alignment horizontal="center" wrapText="1"/>
    </xf>
    <xf numFmtId="0" fontId="14" fillId="0" borderId="0" xfId="0" applyNumberFormat="1" applyFont="1" applyBorder="1" applyAlignment="1">
      <alignment horizontal="center" vertical="top" wrapText="1"/>
    </xf>
    <xf numFmtId="4" fontId="5" fillId="3" borderId="0" xfId="0" applyNumberFormat="1" applyFont="1" applyFill="1" applyBorder="1" applyAlignment="1">
      <alignment horizontal="center" wrapText="1"/>
    </xf>
    <xf numFmtId="0" fontId="5" fillId="3" borderId="0" xfId="0" applyNumberFormat="1" applyFont="1" applyFill="1" applyBorder="1" applyAlignment="1">
      <alignment horizontal="center" wrapText="1"/>
    </xf>
    <xf numFmtId="0" fontId="4" fillId="0" borderId="26" xfId="0" applyNumberFormat="1" applyFont="1" applyBorder="1" applyAlignment="1">
      <alignment horizontal="center" vertical="center" wrapText="1"/>
    </xf>
    <xf numFmtId="0" fontId="4" fillId="0" borderId="0" xfId="0" applyNumberFormat="1" applyFont="1" applyBorder="1" applyAlignment="1">
      <alignment horizontal="left" wrapText="1"/>
    </xf>
    <xf numFmtId="4" fontId="4" fillId="0" borderId="0" xfId="0" applyNumberFormat="1" applyFont="1" applyFill="1" applyBorder="1" applyAlignment="1">
      <alignment horizontal="right"/>
    </xf>
    <xf numFmtId="4" fontId="4" fillId="0" borderId="0" xfId="0" applyNumberFormat="1" applyFont="1" applyBorder="1" applyAlignment="1">
      <alignment horizontal="right" wrapText="1"/>
    </xf>
    <xf numFmtId="4" fontId="22" fillId="3" borderId="0" xfId="0" applyNumberFormat="1" applyFont="1" applyFill="1" applyBorder="1" applyAlignment="1">
      <alignment horizontal="left"/>
    </xf>
    <xf numFmtId="49" fontId="5" fillId="3" borderId="11" xfId="0" applyNumberFormat="1" applyFont="1" applyFill="1" applyBorder="1" applyAlignment="1">
      <alignment horizontal="center" vertical="center" wrapText="1"/>
    </xf>
    <xf numFmtId="49" fontId="5" fillId="3" borderId="11" xfId="0" applyNumberFormat="1" applyFont="1" applyFill="1" applyBorder="1" applyAlignment="1">
      <alignment horizontal="center" wrapText="1"/>
    </xf>
    <xf numFmtId="49" fontId="5" fillId="3" borderId="1" xfId="0" applyNumberFormat="1" applyFont="1" applyFill="1" applyBorder="1" applyAlignment="1">
      <alignment horizontal="center" vertical="center" wrapText="1"/>
    </xf>
    <xf numFmtId="49" fontId="5" fillId="3" borderId="1" xfId="0" applyNumberFormat="1" applyFont="1" applyFill="1" applyBorder="1" applyAlignment="1" applyProtection="1">
      <alignment horizontal="center" vertical="center" wrapText="1"/>
    </xf>
    <xf numFmtId="49" fontId="5" fillId="3" borderId="1" xfId="0" applyNumberFormat="1" applyFont="1" applyFill="1" applyBorder="1" applyAlignment="1">
      <alignment wrapText="1"/>
    </xf>
    <xf numFmtId="0" fontId="22" fillId="7" borderId="1" xfId="0" applyNumberFormat="1" applyFont="1" applyFill="1" applyBorder="1" applyAlignment="1">
      <alignment horizontal="left" vertical="center"/>
    </xf>
    <xf numFmtId="4" fontId="22" fillId="7" borderId="1" xfId="0" applyNumberFormat="1" applyFont="1" applyFill="1" applyBorder="1" applyAlignment="1">
      <alignment horizontal="left" vertical="center"/>
    </xf>
    <xf numFmtId="0" fontId="6" fillId="0" borderId="0" xfId="0" applyNumberFormat="1" applyFont="1" applyBorder="1" applyAlignment="1">
      <alignment horizontal="left"/>
    </xf>
    <xf numFmtId="0" fontId="22" fillId="0" borderId="1" xfId="0" applyNumberFormat="1" applyFont="1" applyFill="1" applyBorder="1" applyAlignment="1">
      <alignment horizontal="left"/>
    </xf>
    <xf numFmtId="0" fontId="22" fillId="5" borderId="1" xfId="0" applyFont="1" applyFill="1" applyBorder="1" applyAlignment="1">
      <alignment horizontal="left"/>
    </xf>
    <xf numFmtId="49" fontId="5" fillId="3" borderId="1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22" fillId="3" borderId="1" xfId="0" applyNumberFormat="1" applyFont="1" applyFill="1" applyBorder="1" applyAlignment="1">
      <alignment horizontal="center" vertical="center" wrapText="1"/>
    </xf>
    <xf numFmtId="49" fontId="22" fillId="3" borderId="11" xfId="0" applyNumberFormat="1" applyFont="1" applyFill="1" applyBorder="1" applyAlignment="1">
      <alignment horizontal="center" wrapText="1"/>
    </xf>
    <xf numFmtId="49" fontId="22" fillId="3" borderId="12" xfId="0" applyNumberFormat="1" applyFont="1" applyFill="1" applyBorder="1" applyAlignment="1">
      <alignment horizontal="center" wrapText="1"/>
    </xf>
    <xf numFmtId="0" fontId="22" fillId="0" borderId="1" xfId="0" applyNumberFormat="1" applyFont="1" applyBorder="1" applyAlignment="1">
      <alignment horizontal="center"/>
    </xf>
    <xf numFmtId="49" fontId="5" fillId="11" borderId="11" xfId="0" applyNumberFormat="1" applyFont="1" applyFill="1" applyBorder="1" applyAlignment="1">
      <alignment horizontal="center" vertical="center" wrapText="1"/>
    </xf>
    <xf numFmtId="49" fontId="22" fillId="11" borderId="1" xfId="0" applyNumberFormat="1" applyFont="1" applyFill="1" applyBorder="1" applyAlignment="1">
      <alignment horizontal="center" vertical="center" wrapText="1"/>
    </xf>
    <xf numFmtId="49" fontId="5" fillId="11" borderId="1" xfId="0" applyNumberFormat="1" applyFont="1" applyFill="1" applyBorder="1" applyAlignment="1">
      <alignment horizontal="center" vertical="center" wrapText="1"/>
    </xf>
    <xf numFmtId="49" fontId="5" fillId="11" borderId="11" xfId="0" applyNumberFormat="1" applyFont="1" applyFill="1" applyBorder="1" applyAlignment="1">
      <alignment horizontal="center" wrapText="1"/>
    </xf>
    <xf numFmtId="49" fontId="5" fillId="11" borderId="1" xfId="0" applyNumberFormat="1" applyFont="1" applyFill="1" applyBorder="1" applyAlignment="1" applyProtection="1">
      <alignment horizontal="center" vertical="center" wrapText="1"/>
    </xf>
    <xf numFmtId="0" fontId="5" fillId="11" borderId="9" xfId="0" applyNumberFormat="1" applyFont="1" applyFill="1" applyBorder="1" applyAlignment="1">
      <alignment vertical="top" wrapText="1"/>
    </xf>
    <xf numFmtId="0" fontId="34" fillId="11" borderId="9" xfId="0" applyNumberFormat="1" applyFont="1" applyFill="1" applyBorder="1" applyAlignment="1">
      <alignment vertical="top" wrapText="1"/>
    </xf>
    <xf numFmtId="49" fontId="5" fillId="11" borderId="1" xfId="0" applyNumberFormat="1" applyFont="1" applyFill="1" applyBorder="1" applyAlignment="1">
      <alignment horizontal="center" vertical="top" wrapText="1"/>
    </xf>
    <xf numFmtId="49" fontId="22" fillId="11" borderId="1" xfId="0" applyNumberFormat="1" applyFont="1" applyFill="1" applyBorder="1" applyAlignment="1">
      <alignment wrapText="1"/>
    </xf>
    <xf numFmtId="49" fontId="5" fillId="3" borderId="11" xfId="0" applyNumberFormat="1" applyFont="1" applyFill="1" applyBorder="1" applyAlignment="1">
      <alignment wrapText="1"/>
    </xf>
    <xf numFmtId="4" fontId="22" fillId="3" borderId="9" xfId="0" applyNumberFormat="1" applyFont="1" applyFill="1" applyBorder="1" applyAlignment="1">
      <alignment vertical="top" wrapText="1"/>
    </xf>
    <xf numFmtId="4" fontId="22" fillId="3" borderId="12" xfId="0" applyNumberFormat="1" applyFont="1" applyFill="1" applyBorder="1" applyAlignment="1">
      <alignment vertical="top" wrapText="1"/>
    </xf>
    <xf numFmtId="4" fontId="23" fillId="3" borderId="1" xfId="0" applyNumberFormat="1" applyFont="1" applyFill="1" applyBorder="1" applyAlignment="1">
      <alignment horizontal="center" vertical="center" wrapText="1"/>
    </xf>
    <xf numFmtId="4" fontId="27" fillId="6" borderId="1" xfId="0" applyNumberFormat="1" applyFont="1" applyFill="1" applyBorder="1" applyAlignment="1">
      <alignment horizontal="center" vertical="center" wrapText="1"/>
    </xf>
    <xf numFmtId="4" fontId="4" fillId="6" borderId="1" xfId="0" applyNumberFormat="1" applyFont="1" applyFill="1" applyBorder="1" applyAlignment="1">
      <alignment horizontal="center" vertical="center" wrapText="1"/>
    </xf>
    <xf numFmtId="0" fontId="4" fillId="0" borderId="1" xfId="0" applyNumberFormat="1" applyFont="1" applyBorder="1" applyAlignment="1">
      <alignment horizontal="left" wrapText="1"/>
    </xf>
    <xf numFmtId="0" fontId="4" fillId="0" borderId="1" xfId="0" applyNumberFormat="1" applyFont="1" applyBorder="1" applyAlignment="1">
      <alignment horizontal="center" vertical="center" wrapText="1"/>
    </xf>
    <xf numFmtId="49" fontId="5" fillId="3" borderId="1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top" wrapText="1"/>
    </xf>
    <xf numFmtId="49" fontId="5" fillId="3" borderId="1" xfId="0" applyNumberFormat="1" applyFont="1" applyFill="1" applyBorder="1" applyAlignment="1">
      <alignment horizontal="center" vertical="center" wrapText="1"/>
    </xf>
    <xf numFmtId="49" fontId="31" fillId="0" borderId="1" xfId="0" applyNumberFormat="1" applyFont="1" applyBorder="1" applyAlignment="1">
      <alignment horizontal="center" vertical="center" wrapText="1"/>
    </xf>
    <xf numFmtId="0" fontId="4" fillId="0" borderId="0" xfId="0" applyNumberFormat="1" applyFont="1" applyBorder="1" applyAlignment="1">
      <alignment horizontal="left" wrapText="1"/>
    </xf>
    <xf numFmtId="4" fontId="4" fillId="0" borderId="1" xfId="0" applyNumberFormat="1" applyFont="1" applyBorder="1" applyAlignment="1">
      <alignment horizontal="center" vertical="top" wrapText="1"/>
    </xf>
    <xf numFmtId="49" fontId="4" fillId="0" borderId="1" xfId="0" applyNumberFormat="1" applyFont="1" applyFill="1" applyBorder="1" applyAlignment="1">
      <alignment wrapText="1"/>
    </xf>
    <xf numFmtId="4"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wrapText="1"/>
    </xf>
    <xf numFmtId="4" fontId="4" fillId="0" borderId="1" xfId="0" applyNumberFormat="1" applyFont="1" applyFill="1" applyBorder="1" applyAlignment="1">
      <alignment horizont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4" fontId="25" fillId="0" borderId="1" xfId="0" applyNumberFormat="1" applyFont="1" applyBorder="1" applyAlignment="1">
      <alignment horizontal="center" vertical="center" wrapText="1"/>
    </xf>
    <xf numFmtId="0" fontId="4" fillId="0" borderId="1" xfId="0" applyNumberFormat="1" applyFont="1" applyBorder="1" applyAlignment="1">
      <alignment vertical="center" wrapText="1"/>
    </xf>
    <xf numFmtId="4" fontId="4" fillId="0" borderId="1" xfId="0" applyNumberFormat="1" applyFont="1" applyFill="1" applyBorder="1" applyAlignment="1">
      <alignment horizontal="center" vertical="top" wrapText="1"/>
    </xf>
    <xf numFmtId="4" fontId="4" fillId="0" borderId="1" xfId="0" applyNumberFormat="1" applyFont="1" applyFill="1" applyBorder="1" applyAlignment="1">
      <alignment horizontal="center"/>
    </xf>
    <xf numFmtId="0" fontId="4" fillId="0" borderId="1" xfId="0" applyNumberFormat="1" applyFont="1" applyFill="1" applyBorder="1" applyAlignment="1">
      <alignment vertical="top" wrapText="1"/>
    </xf>
    <xf numFmtId="49" fontId="4" fillId="0" borderId="1" xfId="0" applyNumberFormat="1" applyFont="1" applyFill="1" applyBorder="1" applyAlignment="1">
      <alignment vertical="top"/>
    </xf>
    <xf numFmtId="4" fontId="4" fillId="0" borderId="1" xfId="0" quotePrefix="1" applyNumberFormat="1" applyFont="1" applyFill="1" applyBorder="1" applyAlignment="1">
      <alignment horizontal="center" vertical="center" wrapText="1"/>
    </xf>
    <xf numFmtId="4" fontId="8" fillId="0" borderId="0" xfId="0" applyNumberFormat="1" applyFont="1" applyFill="1" applyBorder="1" applyAlignment="1"/>
    <xf numFmtId="4" fontId="8" fillId="0" borderId="0" xfId="0" applyNumberFormat="1" applyFont="1" applyBorder="1" applyAlignment="1"/>
    <xf numFmtId="0" fontId="4" fillId="0" borderId="1" xfId="0" applyNumberFormat="1" applyFont="1" applyBorder="1" applyAlignment="1">
      <alignment horizontal="left" vertical="center"/>
    </xf>
    <xf numFmtId="4" fontId="4" fillId="0" borderId="0" xfId="0" applyNumberFormat="1" applyFont="1" applyBorder="1" applyAlignment="1">
      <alignment horizontal="center" vertical="center"/>
    </xf>
    <xf numFmtId="0" fontId="23" fillId="0" borderId="0" xfId="0" applyNumberFormat="1" applyFont="1" applyBorder="1" applyAlignment="1">
      <alignment horizontal="left" vertical="top"/>
    </xf>
    <xf numFmtId="4" fontId="4" fillId="0" borderId="0" xfId="0" applyNumberFormat="1" applyFont="1" applyBorder="1" applyAlignment="1">
      <alignment horizontal="center" vertical="top"/>
    </xf>
    <xf numFmtId="0" fontId="4" fillId="0" borderId="0" xfId="0" applyNumberFormat="1" applyFont="1" applyBorder="1" applyAlignment="1">
      <alignment horizontal="center" vertical="top"/>
    </xf>
    <xf numFmtId="0" fontId="4" fillId="0" borderId="1" xfId="0" applyNumberFormat="1" applyFont="1" applyBorder="1" applyAlignment="1">
      <alignment horizontal="center" vertical="top" wrapText="1"/>
    </xf>
    <xf numFmtId="0" fontId="4" fillId="0" borderId="1" xfId="0" applyNumberFormat="1" applyFont="1" applyBorder="1" applyAlignment="1">
      <alignment horizontal="center" vertical="center" wrapText="1"/>
    </xf>
    <xf numFmtId="0" fontId="4" fillId="0" borderId="1" xfId="2" applyNumberFormat="1" applyFont="1" applyBorder="1" applyAlignment="1">
      <alignment horizontal="center" vertical="center" wrapText="1"/>
    </xf>
    <xf numFmtId="0" fontId="0" fillId="0" borderId="0" xfId="0" applyBorder="1"/>
    <xf numFmtId="0" fontId="35" fillId="0" borderId="1" xfId="0" applyFont="1" applyBorder="1" applyAlignment="1">
      <alignment horizontal="center" vertical="top" wrapText="1"/>
    </xf>
    <xf numFmtId="0" fontId="0" fillId="0" borderId="1" xfId="0" applyFont="1" applyBorder="1" applyAlignment="1">
      <alignment vertical="top" wrapText="1"/>
    </xf>
    <xf numFmtId="0" fontId="4" fillId="0" borderId="1" xfId="0" applyFont="1" applyBorder="1" applyAlignment="1">
      <alignment horizontal="center" vertical="top" wrapText="1"/>
    </xf>
    <xf numFmtId="0" fontId="36" fillId="0" borderId="1" xfId="0" applyFont="1" applyBorder="1" applyAlignment="1">
      <alignment horizontal="center" vertical="center" wrapText="1"/>
    </xf>
    <xf numFmtId="0" fontId="5" fillId="0" borderId="1" xfId="0" applyFont="1" applyBorder="1" applyAlignment="1">
      <alignment wrapText="1"/>
    </xf>
    <xf numFmtId="49" fontId="5" fillId="0" borderId="1" xfId="0" applyNumberFormat="1" applyFont="1" applyBorder="1" applyAlignment="1">
      <alignment horizontal="center"/>
    </xf>
    <xf numFmtId="1" fontId="5" fillId="0" borderId="1" xfId="0" applyNumberFormat="1" applyFont="1" applyBorder="1" applyAlignment="1"/>
    <xf numFmtId="0" fontId="5" fillId="0" borderId="1" xfId="0" applyFont="1" applyBorder="1" applyAlignment="1"/>
    <xf numFmtId="4" fontId="5" fillId="0" borderId="1" xfId="0" applyNumberFormat="1" applyFont="1" applyBorder="1" applyAlignment="1"/>
    <xf numFmtId="4" fontId="5" fillId="6" borderId="1" xfId="0" quotePrefix="1" applyNumberFormat="1" applyFont="1" applyFill="1" applyBorder="1" applyAlignment="1"/>
    <xf numFmtId="0" fontId="15" fillId="0" borderId="1" xfId="0" applyNumberFormat="1" applyFont="1" applyBorder="1" applyAlignment="1">
      <alignment horizontal="center" wrapText="1"/>
    </xf>
    <xf numFmtId="0" fontId="37" fillId="0" borderId="1" xfId="0" applyFont="1" applyBorder="1" applyAlignment="1">
      <alignment horizontal="center" wrapText="1"/>
    </xf>
    <xf numFmtId="0" fontId="5" fillId="0" borderId="1" xfId="0" applyFont="1" applyBorder="1" applyAlignment="1">
      <alignment vertical="top"/>
    </xf>
    <xf numFmtId="4" fontId="5" fillId="0" borderId="1" xfId="0" applyNumberFormat="1" applyFont="1" applyBorder="1" applyAlignment="1">
      <alignment vertical="top"/>
    </xf>
    <xf numFmtId="0" fontId="0" fillId="0" borderId="0" xfId="0" applyAlignment="1">
      <alignment vertical="top"/>
    </xf>
    <xf numFmtId="0" fontId="5" fillId="0" borderId="1" xfId="0" applyFont="1" applyBorder="1"/>
    <xf numFmtId="4" fontId="5" fillId="0" borderId="1" xfId="0" applyNumberFormat="1" applyFont="1" applyBorder="1"/>
    <xf numFmtId="0" fontId="36" fillId="0" borderId="1" xfId="0" applyFont="1" applyBorder="1" applyAlignment="1">
      <alignment horizontal="center" vertical="top" wrapText="1"/>
    </xf>
    <xf numFmtId="0" fontId="37" fillId="0" borderId="1" xfId="0" applyFont="1" applyBorder="1" applyAlignment="1">
      <alignment horizontal="center" vertical="top" wrapText="1"/>
    </xf>
    <xf numFmtId="4" fontId="37" fillId="0" borderId="1" xfId="0" applyNumberFormat="1" applyFont="1" applyBorder="1" applyAlignment="1">
      <alignment horizontal="right" wrapText="1"/>
    </xf>
    <xf numFmtId="4" fontId="5" fillId="6" borderId="1" xfId="0" quotePrefix="1" applyNumberFormat="1" applyFont="1" applyFill="1" applyBorder="1"/>
    <xf numFmtId="4" fontId="37" fillId="0" borderId="1" xfId="0" applyNumberFormat="1" applyFont="1" applyBorder="1" applyAlignment="1">
      <alignment horizontal="right" vertical="top" wrapText="1"/>
    </xf>
    <xf numFmtId="0" fontId="37" fillId="0" borderId="1" xfId="0" applyFont="1" applyBorder="1" applyAlignment="1">
      <alignment horizontal="justify" vertical="top" wrapText="1"/>
    </xf>
    <xf numFmtId="4" fontId="37" fillId="0" borderId="1" xfId="0" applyNumberFormat="1" applyFont="1" applyBorder="1" applyAlignment="1">
      <alignment horizontal="justify" vertical="top" wrapText="1"/>
    </xf>
    <xf numFmtId="0" fontId="5" fillId="0" borderId="0" xfId="0" applyFont="1"/>
    <xf numFmtId="4" fontId="5" fillId="0" borderId="26" xfId="0" applyNumberFormat="1" applyFont="1" applyBorder="1"/>
    <xf numFmtId="4" fontId="5" fillId="0" borderId="31" xfId="0" applyNumberFormat="1" applyFont="1" applyBorder="1"/>
    <xf numFmtId="4" fontId="5" fillId="0" borderId="30" xfId="0" applyNumberFormat="1" applyFont="1" applyBorder="1"/>
    <xf numFmtId="2" fontId="5" fillId="0" borderId="0" xfId="0" applyNumberFormat="1" applyFont="1" applyBorder="1"/>
    <xf numFmtId="4" fontId="5" fillId="0" borderId="29" xfId="0" applyNumberFormat="1" applyFont="1" applyBorder="1"/>
    <xf numFmtId="4" fontId="5" fillId="0" borderId="24" xfId="0" applyNumberFormat="1" applyFont="1" applyBorder="1"/>
    <xf numFmtId="4" fontId="5" fillId="0" borderId="27" xfId="0" applyNumberFormat="1" applyFont="1" applyBorder="1"/>
    <xf numFmtId="4" fontId="5" fillId="0" borderId="0" xfId="0" quotePrefix="1" applyNumberFormat="1" applyFont="1"/>
    <xf numFmtId="4" fontId="5" fillId="12" borderId="1" xfId="0" quotePrefix="1" applyNumberFormat="1" applyFont="1" applyFill="1" applyBorder="1"/>
    <xf numFmtId="49" fontId="5" fillId="0" borderId="26" xfId="0" applyNumberFormat="1" applyFont="1" applyBorder="1" applyAlignment="1">
      <alignment horizontal="center"/>
    </xf>
    <xf numFmtId="0" fontId="5" fillId="0" borderId="1" xfId="0" applyFont="1" applyBorder="1" applyAlignment="1">
      <alignment horizontal="justify" wrapText="1"/>
    </xf>
    <xf numFmtId="0" fontId="5" fillId="0" borderId="1" xfId="0" applyFont="1" applyBorder="1" applyAlignment="1">
      <alignment horizontal="justify" vertical="center" wrapText="1"/>
    </xf>
    <xf numFmtId="0" fontId="7" fillId="0" borderId="1" xfId="0" applyFont="1" applyBorder="1" applyAlignment="1">
      <alignment horizontal="center"/>
    </xf>
    <xf numFmtId="0" fontId="4" fillId="0" borderId="1" xfId="0" applyFont="1" applyBorder="1" applyAlignment="1">
      <alignment horizontal="center" wrapText="1"/>
    </xf>
    <xf numFmtId="0" fontId="7" fillId="0" borderId="26" xfId="0" applyFont="1" applyBorder="1" applyAlignment="1">
      <alignment horizontal="center"/>
    </xf>
    <xf numFmtId="3" fontId="5" fillId="0" borderId="1" xfId="0" applyNumberFormat="1" applyFont="1" applyBorder="1"/>
    <xf numFmtId="3" fontId="5" fillId="9" borderId="1" xfId="0" applyNumberFormat="1" applyFont="1" applyFill="1" applyBorder="1"/>
    <xf numFmtId="0" fontId="5" fillId="9" borderId="1" xfId="0" applyFont="1" applyFill="1" applyBorder="1"/>
    <xf numFmtId="0" fontId="5" fillId="0" borderId="1" xfId="0" applyFont="1" applyBorder="1" applyAlignment="1">
      <alignment vertical="top" wrapText="1"/>
    </xf>
    <xf numFmtId="4" fontId="5" fillId="12" borderId="1" xfId="0" applyNumberFormat="1" applyFont="1" applyFill="1" applyBorder="1"/>
    <xf numFmtId="4" fontId="5" fillId="0" borderId="0" xfId="0" applyNumberFormat="1" applyFont="1"/>
    <xf numFmtId="0" fontId="5" fillId="0" borderId="1" xfId="0" applyNumberFormat="1" applyFont="1" applyBorder="1" applyAlignment="1">
      <alignment vertical="top" wrapText="1"/>
    </xf>
    <xf numFmtId="49" fontId="5" fillId="0" borderId="1" xfId="0" applyNumberFormat="1" applyFont="1" applyBorder="1" applyAlignment="1">
      <alignment horizontal="center" wrapText="1"/>
    </xf>
    <xf numFmtId="0" fontId="37" fillId="0" borderId="34" xfId="0" applyFont="1" applyBorder="1" applyAlignment="1">
      <alignment horizontal="center" wrapText="1"/>
    </xf>
    <xf numFmtId="0" fontId="4" fillId="0" borderId="24" xfId="0" applyNumberFormat="1" applyFont="1" applyFill="1" applyBorder="1" applyAlignment="1">
      <alignment horizontal="center"/>
    </xf>
    <xf numFmtId="49" fontId="4" fillId="0" borderId="24" xfId="0" applyNumberFormat="1" applyFont="1" applyFill="1" applyBorder="1" applyAlignment="1">
      <alignment horizontal="center" vertical="center"/>
    </xf>
    <xf numFmtId="0" fontId="37" fillId="8" borderId="1" xfId="0" applyFont="1" applyFill="1" applyBorder="1" applyAlignment="1">
      <alignment horizontal="justify" vertical="top" wrapText="1"/>
    </xf>
    <xf numFmtId="0" fontId="37" fillId="8" borderId="1" xfId="0" applyFont="1" applyFill="1" applyBorder="1" applyAlignment="1">
      <alignment horizontal="center" vertical="top" wrapText="1"/>
    </xf>
    <xf numFmtId="0" fontId="37" fillId="9" borderId="1" xfId="0" applyFont="1" applyFill="1" applyBorder="1" applyAlignment="1">
      <alignment horizontal="justify" vertical="top" wrapText="1"/>
    </xf>
    <xf numFmtId="0" fontId="37" fillId="9" borderId="1" xfId="0" applyFont="1" applyFill="1" applyBorder="1" applyAlignment="1">
      <alignment horizontal="center" vertical="top" wrapText="1"/>
    </xf>
    <xf numFmtId="0" fontId="0" fillId="0" borderId="0" xfId="0" applyAlignment="1">
      <alignment horizontal="left"/>
    </xf>
    <xf numFmtId="4" fontId="4" fillId="8" borderId="1" xfId="0" quotePrefix="1" applyNumberFormat="1" applyFont="1" applyFill="1" applyBorder="1" applyAlignment="1"/>
    <xf numFmtId="4" fontId="4" fillId="0" borderId="33" xfId="0" applyNumberFormat="1" applyFont="1" applyBorder="1" applyAlignment="1" applyProtection="1">
      <alignment horizontal="right" vertical="center" wrapText="1"/>
    </xf>
    <xf numFmtId="4" fontId="23" fillId="8" borderId="29" xfId="0" applyNumberFormat="1" applyFont="1" applyFill="1" applyBorder="1" applyAlignment="1">
      <alignment horizontal="center" vertical="top" wrapText="1"/>
    </xf>
    <xf numFmtId="0" fontId="22" fillId="0" borderId="4" xfId="0" applyNumberFormat="1" applyFont="1" applyBorder="1" applyAlignment="1">
      <alignment horizontal="left"/>
    </xf>
    <xf numFmtId="0" fontId="22" fillId="0" borderId="0" xfId="0" applyNumberFormat="1" applyFont="1" applyBorder="1" applyAlignment="1">
      <alignment horizontal="left" wrapText="1"/>
    </xf>
    <xf numFmtId="0" fontId="5" fillId="0" borderId="0" xfId="0" applyNumberFormat="1" applyFont="1" applyBorder="1" applyAlignment="1">
      <alignment horizontal="center" vertical="top" wrapText="1"/>
    </xf>
    <xf numFmtId="0" fontId="22" fillId="0" borderId="4" xfId="0" applyNumberFormat="1" applyFont="1" applyBorder="1" applyAlignment="1">
      <alignment horizontal="center"/>
    </xf>
    <xf numFmtId="0" fontId="5" fillId="0" borderId="0" xfId="0" applyNumberFormat="1" applyFont="1" applyBorder="1" applyAlignment="1">
      <alignment horizontal="right" vertical="top"/>
    </xf>
    <xf numFmtId="165" fontId="22" fillId="0" borderId="0" xfId="0" applyNumberFormat="1" applyFont="1" applyBorder="1" applyAlignment="1">
      <alignment horizontal="center"/>
    </xf>
    <xf numFmtId="49" fontId="22" fillId="3" borderId="1" xfId="0" applyNumberFormat="1" applyFont="1" applyFill="1" applyBorder="1" applyAlignment="1">
      <alignment horizontal="center" wrapText="1"/>
    </xf>
    <xf numFmtId="4" fontId="22" fillId="11" borderId="11" xfId="0" applyNumberFormat="1" applyFont="1" applyFill="1" applyBorder="1" applyAlignment="1">
      <alignment horizontal="center" vertical="top" wrapText="1"/>
    </xf>
    <xf numFmtId="4" fontId="22" fillId="11" borderId="12" xfId="0" applyNumberFormat="1" applyFont="1" applyFill="1" applyBorder="1" applyAlignment="1">
      <alignment horizontal="center" vertical="top" wrapText="1"/>
    </xf>
    <xf numFmtId="0" fontId="22" fillId="0" borderId="1" xfId="0" applyNumberFormat="1" applyFont="1" applyBorder="1" applyAlignment="1">
      <alignment horizontal="center"/>
    </xf>
    <xf numFmtId="0" fontId="22" fillId="3" borderId="1" xfId="0" applyNumberFormat="1" applyFont="1" applyFill="1" applyBorder="1" applyAlignment="1">
      <alignment horizontal="center" wrapText="1"/>
    </xf>
    <xf numFmtId="4" fontId="22" fillId="3" borderId="11" xfId="0" applyNumberFormat="1" applyFont="1" applyFill="1" applyBorder="1" applyAlignment="1">
      <alignment horizontal="center" vertical="top" wrapText="1"/>
    </xf>
    <xf numFmtId="4" fontId="22" fillId="3" borderId="12" xfId="0" applyNumberFormat="1" applyFont="1" applyFill="1" applyBorder="1" applyAlignment="1">
      <alignment horizontal="center" vertical="top" wrapText="1"/>
    </xf>
    <xf numFmtId="0" fontId="4" fillId="0" borderId="27" xfId="0" applyNumberFormat="1" applyFont="1" applyBorder="1" applyAlignment="1">
      <alignment horizontal="center" vertical="top" wrapText="1"/>
    </xf>
    <xf numFmtId="0" fontId="4" fillId="0" borderId="28" xfId="0" applyNumberFormat="1" applyFont="1" applyBorder="1" applyAlignment="1">
      <alignment horizontal="center" vertical="top" wrapText="1"/>
    </xf>
    <xf numFmtId="0" fontId="4" fillId="0" borderId="31" xfId="0" applyNumberFormat="1" applyFont="1" applyBorder="1" applyAlignment="1">
      <alignment horizontal="center" vertical="top" wrapText="1"/>
    </xf>
    <xf numFmtId="0" fontId="4" fillId="0" borderId="32" xfId="0" applyNumberFormat="1" applyFont="1" applyBorder="1" applyAlignment="1">
      <alignment horizontal="center" vertical="top" wrapText="1"/>
    </xf>
    <xf numFmtId="49" fontId="31" fillId="0" borderId="11" xfId="0" applyNumberFormat="1" applyFont="1" applyBorder="1" applyAlignment="1">
      <alignment horizontal="center" vertical="center" wrapText="1"/>
    </xf>
    <xf numFmtId="49" fontId="31" fillId="0" borderId="12" xfId="0" applyNumberFormat="1" applyFont="1" applyBorder="1" applyAlignment="1">
      <alignment horizontal="center" vertical="center" wrapText="1"/>
    </xf>
    <xf numFmtId="0" fontId="4" fillId="0" borderId="1" xfId="0" applyNumberFormat="1" applyFont="1" applyBorder="1" applyAlignment="1">
      <alignment horizontal="left" wrapText="1"/>
    </xf>
    <xf numFmtId="0" fontId="4" fillId="3" borderId="1" xfId="0" applyNumberFormat="1" applyFont="1" applyFill="1" applyBorder="1" applyAlignment="1">
      <alignment horizontal="left" wrapText="1"/>
    </xf>
    <xf numFmtId="0" fontId="4" fillId="0" borderId="1" xfId="0" applyNumberFormat="1" applyFont="1" applyBorder="1" applyAlignment="1">
      <alignment horizontal="center" wrapText="1"/>
    </xf>
    <xf numFmtId="0" fontId="4" fillId="0" borderId="1" xfId="0" applyNumberFormat="1" applyFont="1" applyBorder="1" applyAlignment="1">
      <alignment horizontal="center"/>
    </xf>
    <xf numFmtId="0" fontId="4" fillId="0" borderId="1" xfId="0" applyNumberFormat="1" applyFont="1" applyBorder="1" applyAlignment="1">
      <alignment horizontal="left"/>
    </xf>
    <xf numFmtId="49" fontId="4" fillId="3" borderId="11" xfId="0" applyNumberFormat="1" applyFont="1" applyFill="1" applyBorder="1" applyAlignment="1">
      <alignment horizontal="left" wrapText="1"/>
    </xf>
    <xf numFmtId="49" fontId="4" fillId="3" borderId="9" xfId="0" applyNumberFormat="1" applyFont="1" applyFill="1" applyBorder="1" applyAlignment="1">
      <alignment horizontal="left" wrapText="1"/>
    </xf>
    <xf numFmtId="49" fontId="4" fillId="3" borderId="12" xfId="0" applyNumberFormat="1" applyFont="1" applyFill="1" applyBorder="1" applyAlignment="1">
      <alignment horizontal="left" wrapText="1"/>
    </xf>
    <xf numFmtId="0" fontId="4" fillId="3" borderId="11" xfId="0" applyNumberFormat="1" applyFont="1" applyFill="1" applyBorder="1" applyAlignment="1">
      <alignment horizontal="left" wrapText="1"/>
    </xf>
    <xf numFmtId="0" fontId="4" fillId="3" borderId="9" xfId="0" applyNumberFormat="1" applyFont="1" applyFill="1" applyBorder="1" applyAlignment="1">
      <alignment horizontal="left" wrapText="1"/>
    </xf>
    <xf numFmtId="0" fontId="4" fillId="3" borderId="12" xfId="0" applyNumberFormat="1" applyFont="1" applyFill="1" applyBorder="1" applyAlignment="1">
      <alignment horizontal="left" wrapText="1"/>
    </xf>
    <xf numFmtId="0" fontId="4" fillId="3" borderId="1" xfId="0" applyNumberFormat="1" applyFont="1" applyFill="1" applyBorder="1" applyAlignment="1">
      <alignment horizontal="left"/>
    </xf>
    <xf numFmtId="0" fontId="4" fillId="0" borderId="11" xfId="0" applyNumberFormat="1" applyFont="1" applyBorder="1" applyAlignment="1">
      <alignment horizontal="left" wrapText="1"/>
    </xf>
    <xf numFmtId="0" fontId="4" fillId="0" borderId="9" xfId="0" applyNumberFormat="1" applyFont="1" applyBorder="1" applyAlignment="1">
      <alignment horizontal="left" wrapText="1"/>
    </xf>
    <xf numFmtId="0" fontId="4" fillId="0" borderId="12" xfId="0" applyNumberFormat="1" applyFont="1" applyBorder="1" applyAlignment="1">
      <alignment horizontal="left" wrapText="1"/>
    </xf>
    <xf numFmtId="0" fontId="4" fillId="7" borderId="1" xfId="0" applyNumberFormat="1" applyFont="1" applyFill="1" applyBorder="1" applyAlignment="1">
      <alignment horizontal="left" vertical="center"/>
    </xf>
    <xf numFmtId="0" fontId="4" fillId="3" borderId="11" xfId="0" applyNumberFormat="1" applyFont="1" applyFill="1" applyBorder="1" applyAlignment="1">
      <alignment horizontal="center" wrapText="1"/>
    </xf>
    <xf numFmtId="0" fontId="4" fillId="3" borderId="9" xfId="0" applyNumberFormat="1" applyFont="1" applyFill="1" applyBorder="1" applyAlignment="1">
      <alignment horizontal="center" wrapText="1"/>
    </xf>
    <xf numFmtId="0" fontId="4" fillId="3" borderId="12" xfId="0" applyNumberFormat="1" applyFont="1" applyFill="1" applyBorder="1" applyAlignment="1">
      <alignment horizontal="center" wrapText="1"/>
    </xf>
    <xf numFmtId="0" fontId="4" fillId="3" borderId="11" xfId="0" applyNumberFormat="1" applyFont="1" applyFill="1" applyBorder="1" applyAlignment="1">
      <alignment horizontal="center"/>
    </xf>
    <xf numFmtId="0" fontId="4" fillId="3" borderId="9" xfId="0" applyNumberFormat="1" applyFont="1" applyFill="1" applyBorder="1" applyAlignment="1">
      <alignment horizontal="center"/>
    </xf>
    <xf numFmtId="0" fontId="4" fillId="3" borderId="12" xfId="0" applyNumberFormat="1" applyFont="1" applyFill="1" applyBorder="1" applyAlignment="1">
      <alignment horizontal="center"/>
    </xf>
    <xf numFmtId="0" fontId="22" fillId="0" borderId="0" xfId="0" applyNumberFormat="1" applyFont="1" applyBorder="1" applyAlignment="1">
      <alignment horizontal="left"/>
    </xf>
    <xf numFmtId="0" fontId="5" fillId="0" borderId="10" xfId="0" applyNumberFormat="1" applyFont="1" applyBorder="1" applyAlignment="1">
      <alignment horizontal="center" vertical="top"/>
    </xf>
    <xf numFmtId="0" fontId="4" fillId="0" borderId="1" xfId="0" applyNumberFormat="1" applyFont="1" applyBorder="1" applyAlignment="1">
      <alignment horizontal="center" vertical="center"/>
    </xf>
    <xf numFmtId="0" fontId="22" fillId="0" borderId="0" xfId="0" applyNumberFormat="1" applyFont="1" applyBorder="1" applyAlignment="1">
      <alignment horizontal="center"/>
    </xf>
    <xf numFmtId="14" fontId="22" fillId="0" borderId="1" xfId="0" applyNumberFormat="1" applyFont="1" applyFill="1" applyBorder="1" applyAlignment="1">
      <alignment horizontal="center" vertical="center"/>
    </xf>
    <xf numFmtId="0" fontId="22" fillId="0" borderId="4" xfId="0" applyNumberFormat="1" applyFont="1" applyBorder="1" applyAlignment="1">
      <alignment horizontal="right"/>
    </xf>
    <xf numFmtId="0" fontId="4" fillId="0" borderId="10" xfId="0" applyNumberFormat="1" applyFont="1" applyBorder="1" applyAlignment="1">
      <alignment horizontal="center" vertical="top" wrapText="1"/>
    </xf>
    <xf numFmtId="0" fontId="4" fillId="3" borderId="11" xfId="0" applyNumberFormat="1" applyFont="1" applyFill="1" applyBorder="1" applyAlignment="1">
      <alignment horizontal="center" vertical="top" wrapText="1"/>
    </xf>
    <xf numFmtId="0" fontId="4" fillId="3" borderId="12" xfId="0" applyNumberFormat="1" applyFont="1" applyFill="1" applyBorder="1" applyAlignment="1">
      <alignment horizontal="center" vertical="top" wrapText="1"/>
    </xf>
    <xf numFmtId="49" fontId="4" fillId="0" borderId="1" xfId="0" applyNumberFormat="1" applyFont="1" applyBorder="1" applyAlignment="1">
      <alignment horizontal="center" vertical="center" wrapText="1"/>
    </xf>
    <xf numFmtId="0" fontId="22" fillId="0" borderId="0" xfId="0" applyNumberFormat="1" applyFont="1" applyBorder="1" applyAlignment="1">
      <alignment horizontal="center" wrapText="1"/>
    </xf>
    <xf numFmtId="0" fontId="33" fillId="0" borderId="0" xfId="0" applyNumberFormat="1" applyFont="1" applyBorder="1" applyAlignment="1">
      <alignment horizontal="left"/>
    </xf>
    <xf numFmtId="0" fontId="4" fillId="0" borderId="27" xfId="0" applyNumberFormat="1" applyFont="1" applyBorder="1" applyAlignment="1">
      <alignment horizontal="center" vertical="center" wrapText="1"/>
    </xf>
    <xf numFmtId="0" fontId="4" fillId="0" borderId="29" xfId="0" applyNumberFormat="1" applyFont="1" applyBorder="1" applyAlignment="1">
      <alignment horizontal="center" vertical="center" wrapText="1"/>
    </xf>
    <xf numFmtId="0" fontId="4" fillId="0" borderId="31" xfId="0" applyNumberFormat="1" applyFont="1" applyBorder="1" applyAlignment="1">
      <alignment horizontal="center" vertical="center" wrapText="1"/>
    </xf>
    <xf numFmtId="0" fontId="4" fillId="0" borderId="24" xfId="0" applyNumberFormat="1" applyFont="1" applyBorder="1" applyAlignment="1">
      <alignment horizontal="center" vertical="center" wrapText="1"/>
    </xf>
    <xf numFmtId="0" fontId="4" fillId="0" borderId="25" xfId="0" applyNumberFormat="1" applyFont="1" applyBorder="1" applyAlignment="1">
      <alignment horizontal="center" vertical="center" wrapText="1"/>
    </xf>
    <xf numFmtId="0" fontId="4" fillId="0" borderId="26" xfId="0" applyNumberFormat="1" applyFont="1" applyBorder="1" applyAlignment="1">
      <alignment horizontal="center" vertical="center" wrapText="1"/>
    </xf>
    <xf numFmtId="0" fontId="33" fillId="0" borderId="0" xfId="0" applyNumberFormat="1" applyFont="1" applyBorder="1" applyAlignment="1">
      <alignment horizontal="center" wrapText="1"/>
    </xf>
    <xf numFmtId="0" fontId="4" fillId="7" borderId="1" xfId="0" applyNumberFormat="1" applyFont="1" applyFill="1" applyBorder="1" applyAlignment="1">
      <alignment horizontal="left"/>
    </xf>
    <xf numFmtId="0" fontId="5" fillId="0" borderId="1" xfId="0" applyNumberFormat="1" applyFont="1" applyBorder="1" applyAlignment="1">
      <alignment horizontal="center" wrapText="1"/>
    </xf>
    <xf numFmtId="0" fontId="5" fillId="0" borderId="1" xfId="0" applyNumberFormat="1" applyFont="1" applyBorder="1" applyAlignment="1">
      <alignment horizontal="center"/>
    </xf>
    <xf numFmtId="49" fontId="31" fillId="0" borderId="1" xfId="0" applyNumberFormat="1" applyFont="1" applyBorder="1" applyAlignment="1">
      <alignment horizontal="center" vertical="center" wrapText="1"/>
    </xf>
    <xf numFmtId="4" fontId="26" fillId="3" borderId="11" xfId="0" applyNumberFormat="1" applyFont="1" applyFill="1" applyBorder="1" applyAlignment="1">
      <alignment horizontal="center" vertical="top" wrapText="1"/>
    </xf>
    <xf numFmtId="4" fontId="26" fillId="3" borderId="12" xfId="0" applyNumberFormat="1" applyFont="1" applyFill="1" applyBorder="1" applyAlignment="1">
      <alignment horizontal="center" vertical="top" wrapText="1"/>
    </xf>
    <xf numFmtId="0" fontId="31" fillId="3" borderId="11" xfId="0" applyNumberFormat="1" applyFont="1" applyFill="1" applyBorder="1" applyAlignment="1">
      <alignment horizontal="center" vertical="top" wrapText="1"/>
    </xf>
    <xf numFmtId="0" fontId="31" fillId="3" borderId="12" xfId="0" applyNumberFormat="1" applyFont="1" applyFill="1" applyBorder="1" applyAlignment="1">
      <alignment horizontal="center" vertical="top" wrapText="1"/>
    </xf>
    <xf numFmtId="49" fontId="22" fillId="11" borderId="1" xfId="0" applyNumberFormat="1" applyFont="1" applyFill="1" applyBorder="1" applyAlignment="1">
      <alignment horizontal="center" wrapText="1"/>
    </xf>
    <xf numFmtId="4" fontId="22" fillId="3" borderId="1" xfId="0" applyNumberFormat="1" applyFont="1" applyFill="1" applyBorder="1" applyAlignment="1">
      <alignment horizontal="center" vertical="top" wrapText="1"/>
    </xf>
    <xf numFmtId="4" fontId="22" fillId="3" borderId="11" xfId="0" applyNumberFormat="1" applyFont="1" applyFill="1" applyBorder="1" applyAlignment="1">
      <alignment horizontal="center" vertical="center" wrapText="1"/>
    </xf>
    <xf numFmtId="4" fontId="22" fillId="3" borderId="12" xfId="0" applyNumberFormat="1" applyFont="1" applyFill="1" applyBorder="1" applyAlignment="1">
      <alignment horizontal="center" vertical="center" wrapText="1"/>
    </xf>
    <xf numFmtId="4" fontId="22" fillId="3" borderId="0" xfId="0" applyNumberFormat="1" applyFont="1" applyFill="1" applyBorder="1" applyAlignment="1">
      <alignment horizontal="center" wrapText="1"/>
    </xf>
    <xf numFmtId="0" fontId="22" fillId="3" borderId="0" xfId="0" applyNumberFormat="1" applyFont="1" applyFill="1" applyBorder="1" applyAlignment="1">
      <alignment horizontal="center" wrapText="1"/>
    </xf>
    <xf numFmtId="4" fontId="26" fillId="3" borderId="1" xfId="0" applyNumberFormat="1" applyFont="1" applyFill="1" applyBorder="1" applyAlignment="1">
      <alignment horizontal="center" vertical="center" wrapText="1"/>
    </xf>
    <xf numFmtId="4" fontId="22" fillId="3" borderId="1" xfId="0" applyNumberFormat="1" applyFont="1" applyFill="1" applyBorder="1" applyAlignment="1">
      <alignment horizontal="center" vertical="center" wrapText="1"/>
    </xf>
    <xf numFmtId="4" fontId="22" fillId="8" borderId="0" xfId="0" applyNumberFormat="1" applyFont="1" applyFill="1" applyBorder="1" applyAlignment="1">
      <alignment horizontal="center" wrapText="1"/>
    </xf>
    <xf numFmtId="0" fontId="22" fillId="8" borderId="0" xfId="0" applyNumberFormat="1" applyFont="1" applyFill="1" applyBorder="1" applyAlignment="1">
      <alignment horizontal="center" wrapText="1"/>
    </xf>
    <xf numFmtId="4" fontId="22" fillId="6" borderId="11" xfId="0" applyNumberFormat="1" applyFont="1" applyFill="1" applyBorder="1" applyAlignment="1">
      <alignment horizontal="center" vertical="top" wrapText="1"/>
    </xf>
    <xf numFmtId="4" fontId="22" fillId="6" borderId="12" xfId="0" applyNumberFormat="1" applyFont="1" applyFill="1" applyBorder="1" applyAlignment="1">
      <alignment horizontal="center" vertical="top" wrapText="1"/>
    </xf>
    <xf numFmtId="4" fontId="22" fillId="11" borderId="11" xfId="0" applyNumberFormat="1" applyFont="1" applyFill="1" applyBorder="1" applyAlignment="1">
      <alignment horizontal="center" vertical="center" wrapText="1"/>
    </xf>
    <xf numFmtId="4" fontId="22" fillId="11" borderId="12" xfId="0" applyNumberFormat="1" applyFont="1" applyFill="1" applyBorder="1" applyAlignment="1">
      <alignment horizontal="center" vertical="center" wrapText="1"/>
    </xf>
    <xf numFmtId="4" fontId="26" fillId="3" borderId="11" xfId="0" applyNumberFormat="1" applyFont="1" applyFill="1" applyBorder="1" applyAlignment="1">
      <alignment horizontal="center" vertical="center" wrapText="1"/>
    </xf>
    <xf numFmtId="4" fontId="26" fillId="3" borderId="12" xfId="0" applyNumberFormat="1" applyFont="1" applyFill="1" applyBorder="1" applyAlignment="1">
      <alignment horizontal="center" vertical="center" wrapText="1"/>
    </xf>
    <xf numFmtId="4" fontId="22" fillId="6" borderId="1" xfId="0" applyNumberFormat="1" applyFont="1" applyFill="1" applyBorder="1" applyAlignment="1">
      <alignment horizontal="center" wrapText="1"/>
    </xf>
    <xf numFmtId="4" fontId="22" fillId="6" borderId="11" xfId="0" applyNumberFormat="1" applyFont="1" applyFill="1" applyBorder="1" applyAlignment="1">
      <alignment horizontal="center" wrapText="1"/>
    </xf>
    <xf numFmtId="4" fontId="22" fillId="6" borderId="12" xfId="0" applyNumberFormat="1" applyFont="1" applyFill="1" applyBorder="1" applyAlignment="1">
      <alignment horizontal="center" wrapText="1"/>
    </xf>
    <xf numFmtId="4" fontId="22" fillId="6" borderId="0" xfId="0" applyNumberFormat="1" applyFont="1" applyFill="1" applyBorder="1" applyAlignment="1" applyProtection="1">
      <alignment horizontal="center" wrapText="1"/>
    </xf>
    <xf numFmtId="49" fontId="22" fillId="3" borderId="1" xfId="0" applyNumberFormat="1" applyFont="1" applyFill="1" applyBorder="1" applyAlignment="1">
      <alignment horizontal="center" vertical="center" wrapText="1"/>
    </xf>
    <xf numFmtId="4" fontId="22" fillId="3" borderId="1" xfId="0" applyNumberFormat="1" applyFont="1" applyFill="1" applyBorder="1" applyAlignment="1">
      <alignment horizontal="center" wrapText="1"/>
    </xf>
    <xf numFmtId="4" fontId="22" fillId="8" borderId="29" xfId="0" applyNumberFormat="1" applyFont="1" applyFill="1" applyBorder="1" applyAlignment="1">
      <alignment horizontal="center" wrapText="1"/>
    </xf>
    <xf numFmtId="4" fontId="22" fillId="11" borderId="1" xfId="0" applyNumberFormat="1" applyFont="1" applyFill="1" applyBorder="1" applyAlignment="1">
      <alignment horizontal="center" vertical="center" wrapText="1"/>
    </xf>
    <xf numFmtId="4" fontId="22" fillId="11" borderId="1" xfId="0" applyNumberFormat="1" applyFont="1" applyFill="1" applyBorder="1" applyAlignment="1">
      <alignment horizontal="center" wrapText="1"/>
    </xf>
    <xf numFmtId="4" fontId="22" fillId="0" borderId="0" xfId="0" applyNumberFormat="1" applyFont="1" applyBorder="1" applyAlignment="1">
      <alignment horizontal="center" wrapText="1"/>
    </xf>
    <xf numFmtId="0" fontId="5" fillId="0" borderId="0" xfId="0" applyNumberFormat="1" applyFont="1" applyBorder="1" applyAlignment="1">
      <alignment horizontal="center" wrapText="1"/>
    </xf>
    <xf numFmtId="0" fontId="14" fillId="0" borderId="0" xfId="0" applyNumberFormat="1" applyFont="1" applyBorder="1" applyAlignment="1">
      <alignment horizontal="center" vertical="top" wrapText="1"/>
    </xf>
    <xf numFmtId="0" fontId="11" fillId="0" borderId="0" xfId="0" applyNumberFormat="1" applyFont="1" applyBorder="1" applyAlignment="1">
      <alignment horizontal="left" wrapText="1"/>
    </xf>
    <xf numFmtId="4" fontId="5" fillId="3" borderId="10" xfId="0" applyNumberFormat="1" applyFont="1" applyFill="1" applyBorder="1" applyAlignment="1">
      <alignment horizontal="center" wrapText="1"/>
    </xf>
    <xf numFmtId="4" fontId="5" fillId="3" borderId="0" xfId="0" applyNumberFormat="1" applyFont="1" applyFill="1" applyBorder="1" applyAlignment="1">
      <alignment horizontal="center" wrapText="1"/>
    </xf>
    <xf numFmtId="49" fontId="19" fillId="0" borderId="0" xfId="0" applyNumberFormat="1" applyFont="1" applyBorder="1" applyAlignment="1">
      <alignment horizontal="center" wrapText="1"/>
    </xf>
    <xf numFmtId="0" fontId="5" fillId="0" borderId="15" xfId="0" applyNumberFormat="1" applyFont="1" applyBorder="1" applyAlignment="1">
      <alignment horizontal="center" vertical="top" wrapText="1"/>
    </xf>
    <xf numFmtId="0" fontId="5" fillId="0" borderId="10" xfId="0" applyNumberFormat="1" applyFont="1" applyBorder="1" applyAlignment="1">
      <alignment horizontal="center" vertical="top" wrapText="1"/>
    </xf>
    <xf numFmtId="49" fontId="8" fillId="0" borderId="0" xfId="0" applyNumberFormat="1" applyFont="1" applyBorder="1" applyAlignment="1">
      <alignment horizontal="center" wrapText="1"/>
    </xf>
    <xf numFmtId="49" fontId="8" fillId="0" borderId="0" xfId="0" applyNumberFormat="1" applyFont="1" applyBorder="1" applyAlignment="1">
      <alignment horizontal="left" wrapText="1"/>
    </xf>
    <xf numFmtId="0" fontId="8" fillId="0" borderId="16" xfId="0" applyNumberFormat="1" applyFont="1" applyBorder="1" applyAlignment="1">
      <alignment horizontal="center" vertical="center" wrapText="1"/>
    </xf>
    <xf numFmtId="0" fontId="8" fillId="0" borderId="17" xfId="0" applyNumberFormat="1" applyFont="1" applyBorder="1" applyAlignment="1">
      <alignment horizontal="center" vertical="center" wrapText="1"/>
    </xf>
    <xf numFmtId="0" fontId="8" fillId="0" borderId="13" xfId="0" applyNumberFormat="1" applyFont="1" applyBorder="1" applyAlignment="1">
      <alignment horizontal="center" vertical="top" wrapText="1"/>
    </xf>
    <xf numFmtId="0" fontId="8" fillId="0" borderId="4" xfId="0" applyNumberFormat="1" applyFont="1" applyBorder="1" applyAlignment="1">
      <alignment horizontal="center" vertical="top" wrapText="1"/>
    </xf>
    <xf numFmtId="0" fontId="8" fillId="0" borderId="14" xfId="0" applyNumberFormat="1" applyFont="1" applyBorder="1" applyAlignment="1">
      <alignment horizontal="center" vertical="top" wrapText="1"/>
    </xf>
    <xf numFmtId="0" fontId="5" fillId="0" borderId="19" xfId="0" applyNumberFormat="1" applyFont="1" applyBorder="1" applyAlignment="1">
      <alignment horizontal="center" vertical="top" wrapText="1"/>
    </xf>
    <xf numFmtId="0" fontId="5" fillId="0" borderId="20" xfId="0" applyNumberFormat="1" applyFont="1" applyBorder="1" applyAlignment="1">
      <alignment horizontal="center" vertical="top" wrapText="1"/>
    </xf>
    <xf numFmtId="0" fontId="5" fillId="0" borderId="4" xfId="0" applyNumberFormat="1" applyFont="1" applyBorder="1" applyAlignment="1">
      <alignment horizontal="center" wrapText="1"/>
    </xf>
    <xf numFmtId="0" fontId="5" fillId="0" borderId="14" xfId="0" applyNumberFormat="1" applyFont="1" applyBorder="1" applyAlignment="1">
      <alignment horizontal="center" wrapText="1"/>
    </xf>
    <xf numFmtId="0" fontId="5" fillId="0" borderId="5" xfId="0" applyNumberFormat="1" applyFont="1" applyBorder="1" applyAlignment="1">
      <alignment horizontal="center" vertical="top" wrapText="1"/>
    </xf>
    <xf numFmtId="0" fontId="4" fillId="0" borderId="21" xfId="0" applyNumberFormat="1" applyFont="1" applyBorder="1" applyAlignment="1">
      <alignment horizontal="center" wrapText="1"/>
    </xf>
    <xf numFmtId="0" fontId="4" fillId="0" borderId="22" xfId="0" applyNumberFormat="1" applyFont="1" applyBorder="1" applyAlignment="1">
      <alignment horizontal="center" wrapText="1"/>
    </xf>
    <xf numFmtId="0" fontId="4" fillId="0" borderId="23" xfId="0" applyNumberFormat="1" applyFont="1" applyBorder="1" applyAlignment="1">
      <alignment horizontal="center" wrapText="1"/>
    </xf>
    <xf numFmtId="0" fontId="4" fillId="3" borderId="11" xfId="0" applyNumberFormat="1" applyFont="1" applyFill="1" applyBorder="1" applyAlignment="1">
      <alignment horizontal="left" vertical="top" wrapText="1"/>
    </xf>
    <xf numFmtId="0" fontId="4" fillId="3" borderId="9" xfId="0" applyNumberFormat="1" applyFont="1" applyFill="1" applyBorder="1" applyAlignment="1">
      <alignment horizontal="left" vertical="top" wrapText="1"/>
    </xf>
    <xf numFmtId="0" fontId="4" fillId="3" borderId="12" xfId="0" applyNumberFormat="1" applyFont="1" applyFill="1" applyBorder="1" applyAlignment="1">
      <alignment horizontal="left" vertical="top" wrapText="1"/>
    </xf>
    <xf numFmtId="0" fontId="4" fillId="0" borderId="10" xfId="0" applyNumberFormat="1" applyFont="1" applyBorder="1" applyAlignment="1">
      <alignment horizontal="center" vertical="center" wrapText="1"/>
    </xf>
    <xf numFmtId="0" fontId="4" fillId="0" borderId="28"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xf numFmtId="0" fontId="4" fillId="0" borderId="30"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32" xfId="0" applyNumberFormat="1" applyFont="1" applyBorder="1" applyAlignment="1">
      <alignment horizontal="center" vertical="center" wrapText="1"/>
    </xf>
    <xf numFmtId="49" fontId="31" fillId="0" borderId="9" xfId="0" applyNumberFormat="1" applyFont="1" applyBorder="1" applyAlignment="1">
      <alignment horizontal="center" vertical="center" wrapText="1"/>
    </xf>
    <xf numFmtId="0" fontId="4" fillId="3" borderId="11" xfId="0" applyNumberFormat="1" applyFont="1" applyFill="1" applyBorder="1" applyAlignment="1">
      <alignment horizontal="justify" vertical="top" wrapText="1"/>
    </xf>
    <xf numFmtId="0" fontId="4" fillId="3" borderId="9" xfId="0" applyNumberFormat="1" applyFont="1" applyFill="1" applyBorder="1" applyAlignment="1">
      <alignment horizontal="justify" vertical="top" wrapText="1"/>
    </xf>
    <xf numFmtId="0" fontId="4" fillId="3" borderId="12" xfId="0" applyNumberFormat="1" applyFont="1" applyFill="1" applyBorder="1" applyAlignment="1">
      <alignment horizontal="justify" vertical="top" wrapText="1"/>
    </xf>
    <xf numFmtId="0" fontId="4" fillId="3" borderId="9" xfId="0" applyNumberFormat="1" applyFont="1" applyFill="1" applyBorder="1" applyAlignment="1">
      <alignment horizontal="center" vertical="top" wrapText="1"/>
    </xf>
    <xf numFmtId="0" fontId="7" fillId="3" borderId="11" xfId="0" applyNumberFormat="1" applyFont="1" applyFill="1" applyBorder="1" applyAlignment="1">
      <alignment horizontal="center"/>
    </xf>
    <xf numFmtId="0" fontId="7" fillId="3" borderId="9" xfId="0" applyNumberFormat="1" applyFont="1" applyFill="1" applyBorder="1" applyAlignment="1">
      <alignment horizontal="center"/>
    </xf>
    <xf numFmtId="0" fontId="7" fillId="3" borderId="12" xfId="0" applyNumberFormat="1" applyFont="1" applyFill="1" applyBorder="1" applyAlignment="1">
      <alignment horizontal="center"/>
    </xf>
    <xf numFmtId="49" fontId="4" fillId="8" borderId="1" xfId="0" applyNumberFormat="1" applyFont="1" applyFill="1" applyBorder="1" applyAlignment="1">
      <alignment horizontal="center" vertical="center" wrapText="1"/>
    </xf>
    <xf numFmtId="4" fontId="22" fillId="8" borderId="11" xfId="0" applyNumberFormat="1" applyFont="1" applyFill="1" applyBorder="1" applyAlignment="1">
      <alignment horizontal="center" wrapText="1"/>
    </xf>
    <xf numFmtId="4" fontId="22" fillId="8" borderId="9" xfId="0" applyNumberFormat="1" applyFont="1" applyFill="1" applyBorder="1" applyAlignment="1">
      <alignment horizontal="center" wrapText="1"/>
    </xf>
    <xf numFmtId="4" fontId="22" fillId="8" borderId="12" xfId="0" applyNumberFormat="1" applyFont="1" applyFill="1" applyBorder="1" applyAlignment="1">
      <alignment horizontal="center" wrapText="1"/>
    </xf>
    <xf numFmtId="0" fontId="22" fillId="8" borderId="11" xfId="0" applyNumberFormat="1" applyFont="1" applyFill="1" applyBorder="1" applyAlignment="1">
      <alignment horizontal="center" wrapText="1"/>
    </xf>
    <xf numFmtId="0" fontId="22" fillId="8" borderId="9" xfId="0" applyNumberFormat="1" applyFont="1" applyFill="1" applyBorder="1" applyAlignment="1">
      <alignment horizontal="center" wrapText="1"/>
    </xf>
    <xf numFmtId="0" fontId="22" fillId="8" borderId="12" xfId="0" applyNumberFormat="1" applyFont="1" applyFill="1" applyBorder="1" applyAlignment="1">
      <alignment horizontal="center" wrapText="1"/>
    </xf>
    <xf numFmtId="0" fontId="4" fillId="8" borderId="1" xfId="0" applyNumberFormat="1" applyFont="1" applyFill="1" applyBorder="1" applyAlignment="1">
      <alignment horizontal="left" vertical="top" wrapText="1"/>
    </xf>
    <xf numFmtId="49" fontId="22" fillId="8" borderId="1" xfId="0" applyNumberFormat="1" applyFont="1" applyFill="1" applyBorder="1" applyAlignment="1">
      <alignment horizontal="center" wrapText="1"/>
    </xf>
    <xf numFmtId="4" fontId="22" fillId="3" borderId="11" xfId="0" applyNumberFormat="1" applyFont="1" applyFill="1" applyBorder="1" applyAlignment="1">
      <alignment horizontal="center" wrapText="1"/>
    </xf>
    <xf numFmtId="4" fontId="22" fillId="3" borderId="9" xfId="0" applyNumberFormat="1" applyFont="1" applyFill="1" applyBorder="1" applyAlignment="1">
      <alignment horizontal="center" wrapText="1"/>
    </xf>
    <xf numFmtId="4" fontId="22" fillId="3" borderId="12" xfId="0" applyNumberFormat="1" applyFont="1" applyFill="1" applyBorder="1" applyAlignment="1">
      <alignment horizontal="center" wrapText="1"/>
    </xf>
    <xf numFmtId="0" fontId="4" fillId="3" borderId="1" xfId="0" applyNumberFormat="1" applyFont="1" applyFill="1" applyBorder="1" applyAlignment="1">
      <alignment horizontal="left" vertical="top" wrapText="1"/>
    </xf>
    <xf numFmtId="49" fontId="4" fillId="3" borderId="1" xfId="0" applyNumberFormat="1" applyFont="1" applyFill="1" applyBorder="1" applyAlignment="1">
      <alignment horizontal="center" vertical="center" wrapText="1"/>
    </xf>
    <xf numFmtId="0" fontId="22" fillId="3" borderId="1" xfId="0" applyNumberFormat="1" applyFont="1" applyFill="1" applyBorder="1" applyAlignment="1">
      <alignment horizontal="left" vertical="top" wrapText="1"/>
    </xf>
    <xf numFmtId="4" fontId="22" fillId="8" borderId="1" xfId="0" applyNumberFormat="1" applyFont="1" applyFill="1" applyBorder="1" applyAlignment="1">
      <alignment horizontal="center" wrapText="1"/>
    </xf>
    <xf numFmtId="0" fontId="4" fillId="0" borderId="1" xfId="0" applyNumberFormat="1" applyFont="1" applyBorder="1" applyAlignment="1">
      <alignment horizontal="center" vertical="top" wrapText="1"/>
    </xf>
    <xf numFmtId="0" fontId="8" fillId="0" borderId="0" xfId="0" applyNumberFormat="1" applyFont="1" applyBorder="1" applyAlignment="1">
      <alignment horizontal="center" wrapText="1"/>
    </xf>
    <xf numFmtId="0" fontId="4" fillId="0" borderId="24" xfId="0" applyNumberFormat="1" applyFont="1" applyBorder="1" applyAlignment="1">
      <alignment horizontal="center" vertical="top" wrapText="1"/>
    </xf>
    <xf numFmtId="0" fontId="4" fillId="0" borderId="25" xfId="0" applyNumberFormat="1" applyFont="1" applyBorder="1" applyAlignment="1">
      <alignment horizontal="center" vertical="top" wrapText="1"/>
    </xf>
    <xf numFmtId="0" fontId="4" fillId="0" borderId="26" xfId="0" applyNumberFormat="1" applyFont="1" applyBorder="1" applyAlignment="1">
      <alignment horizontal="center" vertical="top" wrapText="1"/>
    </xf>
    <xf numFmtId="0" fontId="4" fillId="0" borderId="11" xfId="0" applyNumberFormat="1" applyFont="1" applyBorder="1" applyAlignment="1">
      <alignment horizontal="center" vertical="top" wrapText="1"/>
    </xf>
    <xf numFmtId="0" fontId="4" fillId="0" borderId="9" xfId="0" applyNumberFormat="1" applyFont="1" applyBorder="1" applyAlignment="1">
      <alignment horizontal="center" vertical="top" wrapText="1"/>
    </xf>
    <xf numFmtId="0" fontId="4" fillId="0" borderId="12" xfId="0" applyNumberFormat="1" applyFont="1" applyBorder="1" applyAlignment="1">
      <alignment horizontal="center" vertical="top" wrapText="1"/>
    </xf>
    <xf numFmtId="4" fontId="22" fillId="8" borderId="11" xfId="0" applyNumberFormat="1" applyFont="1" applyFill="1" applyBorder="1" applyAlignment="1">
      <alignment horizontal="center" vertical="top" wrapText="1"/>
    </xf>
    <xf numFmtId="4" fontId="22" fillId="8" borderId="9" xfId="0" applyNumberFormat="1" applyFont="1" applyFill="1" applyBorder="1" applyAlignment="1">
      <alignment horizontal="center" vertical="top" wrapText="1"/>
    </xf>
    <xf numFmtId="4" fontId="22" fillId="8" borderId="12" xfId="0" applyNumberFormat="1" applyFont="1" applyFill="1" applyBorder="1" applyAlignment="1">
      <alignment horizontal="center" vertical="top" wrapText="1"/>
    </xf>
    <xf numFmtId="0" fontId="22" fillId="8" borderId="1" xfId="0" applyNumberFormat="1" applyFont="1" applyFill="1" applyBorder="1" applyAlignment="1">
      <alignment horizontal="center" wrapText="1"/>
    </xf>
    <xf numFmtId="4" fontId="22" fillId="6" borderId="11" xfId="0" applyNumberFormat="1" applyFont="1" applyFill="1" applyBorder="1" applyAlignment="1" applyProtection="1">
      <alignment horizontal="center" wrapText="1"/>
    </xf>
    <xf numFmtId="4" fontId="22" fillId="6" borderId="9" xfId="0" applyNumberFormat="1" applyFont="1" applyFill="1" applyBorder="1" applyAlignment="1" applyProtection="1">
      <alignment horizontal="center" wrapText="1"/>
    </xf>
    <xf numFmtId="4" fontId="22" fillId="6" borderId="12" xfId="0" applyNumberFormat="1" applyFont="1" applyFill="1" applyBorder="1" applyAlignment="1" applyProtection="1">
      <alignment horizontal="center" wrapText="1"/>
    </xf>
    <xf numFmtId="0" fontId="22" fillId="3" borderId="11" xfId="0" applyNumberFormat="1" applyFont="1" applyFill="1" applyBorder="1" applyAlignment="1">
      <alignment horizontal="center" wrapText="1"/>
    </xf>
    <xf numFmtId="0" fontId="22" fillId="3" borderId="9" xfId="0" applyNumberFormat="1" applyFont="1" applyFill="1" applyBorder="1" applyAlignment="1">
      <alignment horizontal="center" wrapText="1"/>
    </xf>
    <xf numFmtId="0" fontId="22" fillId="3" borderId="12" xfId="0" applyNumberFormat="1" applyFont="1" applyFill="1" applyBorder="1" applyAlignment="1">
      <alignment horizontal="center" wrapText="1"/>
    </xf>
    <xf numFmtId="0" fontId="23" fillId="3" borderId="11" xfId="0" applyNumberFormat="1" applyFont="1" applyFill="1" applyBorder="1" applyAlignment="1">
      <alignment horizontal="center" vertical="top" wrapText="1"/>
    </xf>
    <xf numFmtId="0" fontId="23" fillId="3" borderId="9" xfId="0" applyNumberFormat="1" applyFont="1" applyFill="1" applyBorder="1" applyAlignment="1">
      <alignment horizontal="center" vertical="top" wrapText="1"/>
    </xf>
    <xf numFmtId="0" fontId="23" fillId="3" borderId="12" xfId="0" applyNumberFormat="1" applyFont="1" applyFill="1" applyBorder="1" applyAlignment="1">
      <alignment horizontal="center" vertical="top" wrapText="1"/>
    </xf>
    <xf numFmtId="49" fontId="22" fillId="3" borderId="11" xfId="0" applyNumberFormat="1" applyFont="1" applyFill="1" applyBorder="1" applyAlignment="1">
      <alignment horizontal="center" wrapText="1"/>
    </xf>
    <xf numFmtId="49" fontId="22" fillId="3" borderId="12" xfId="0" applyNumberFormat="1" applyFont="1" applyFill="1" applyBorder="1" applyAlignment="1">
      <alignment horizontal="center" wrapText="1"/>
    </xf>
    <xf numFmtId="49" fontId="4" fillId="8" borderId="11" xfId="0" applyNumberFormat="1" applyFont="1" applyFill="1" applyBorder="1" applyAlignment="1">
      <alignment horizontal="center" vertical="center" wrapText="1"/>
    </xf>
    <xf numFmtId="49" fontId="4" fillId="8" borderId="12" xfId="0" applyNumberFormat="1" applyFont="1" applyFill="1" applyBorder="1" applyAlignment="1">
      <alignment horizontal="center" vertical="center" wrapText="1"/>
    </xf>
    <xf numFmtId="49" fontId="22" fillId="8" borderId="11" xfId="0" applyNumberFormat="1" applyFont="1" applyFill="1" applyBorder="1" applyAlignment="1">
      <alignment horizontal="center" wrapText="1"/>
    </xf>
    <xf numFmtId="49" fontId="22" fillId="8" borderId="12" xfId="0" applyNumberFormat="1" applyFont="1" applyFill="1" applyBorder="1" applyAlignment="1">
      <alignment horizontal="center" wrapText="1"/>
    </xf>
    <xf numFmtId="49" fontId="4" fillId="3" borderId="11" xfId="0" applyNumberFormat="1" applyFont="1" applyFill="1" applyBorder="1" applyAlignment="1">
      <alignment horizontal="center" vertical="center" wrapText="1"/>
    </xf>
    <xf numFmtId="49" fontId="4" fillId="3" borderId="12" xfId="0" applyNumberFormat="1" applyFont="1" applyFill="1" applyBorder="1" applyAlignment="1">
      <alignment horizontal="center" vertical="center" wrapText="1"/>
    </xf>
    <xf numFmtId="0" fontId="5" fillId="3" borderId="0" xfId="0" applyNumberFormat="1" applyFont="1" applyFill="1" applyBorder="1" applyAlignment="1">
      <alignment horizontal="center" wrapText="1"/>
    </xf>
    <xf numFmtId="0" fontId="8" fillId="0" borderId="18" xfId="0" applyNumberFormat="1" applyFont="1" applyBorder="1" applyAlignment="1">
      <alignment horizontal="center" vertical="center" wrapText="1"/>
    </xf>
    <xf numFmtId="0" fontId="5" fillId="0" borderId="13" xfId="0" applyNumberFormat="1" applyFont="1" applyBorder="1" applyAlignment="1">
      <alignment horizontal="center" vertical="top" wrapText="1"/>
    </xf>
    <xf numFmtId="0" fontId="5" fillId="0" borderId="4" xfId="0" applyNumberFormat="1" applyFont="1" applyBorder="1" applyAlignment="1">
      <alignment horizontal="center" vertical="top" wrapText="1"/>
    </xf>
    <xf numFmtId="49" fontId="8" fillId="0" borderId="15" xfId="0" applyNumberFormat="1" applyFont="1" applyBorder="1" applyAlignment="1">
      <alignment horizontal="center" wrapText="1"/>
    </xf>
    <xf numFmtId="49" fontId="4" fillId="0" borderId="24" xfId="0" applyNumberFormat="1" applyFont="1" applyFill="1" applyBorder="1" applyAlignment="1">
      <alignment horizontal="left" vertical="top"/>
    </xf>
    <xf numFmtId="49" fontId="4" fillId="0" borderId="26" xfId="0" applyNumberFormat="1" applyFont="1" applyFill="1" applyBorder="1" applyAlignment="1">
      <alignment horizontal="left" vertical="top"/>
    </xf>
    <xf numFmtId="4" fontId="4" fillId="0" borderId="24" xfId="0" applyNumberFormat="1" applyFont="1" applyFill="1" applyBorder="1" applyAlignment="1">
      <alignment horizontal="center" vertical="top" wrapText="1"/>
    </xf>
    <xf numFmtId="4" fontId="4" fillId="0" borderId="26" xfId="0" applyNumberFormat="1" applyFont="1" applyFill="1" applyBorder="1" applyAlignment="1">
      <alignment horizontal="center" vertical="top" wrapText="1"/>
    </xf>
    <xf numFmtId="0" fontId="15" fillId="0" borderId="0" xfId="0" applyNumberFormat="1" applyFont="1" applyFill="1" applyBorder="1" applyAlignment="1">
      <alignment horizontal="center" wrapText="1"/>
    </xf>
    <xf numFmtId="0" fontId="5" fillId="0" borderId="4" xfId="0" applyNumberFormat="1" applyFont="1" applyFill="1" applyBorder="1" applyAlignment="1">
      <alignment horizontal="center" wrapText="1"/>
    </xf>
    <xf numFmtId="0" fontId="4"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0" fontId="15" fillId="0" borderId="0" xfId="0" applyNumberFormat="1" applyFont="1" applyBorder="1" applyAlignment="1">
      <alignment horizontal="center" wrapText="1"/>
    </xf>
    <xf numFmtId="0" fontId="4" fillId="0" borderId="1" xfId="0" applyNumberFormat="1" applyFont="1" applyBorder="1" applyAlignment="1">
      <alignment horizontal="center" vertical="center" wrapText="1"/>
    </xf>
    <xf numFmtId="0" fontId="16" fillId="0" borderId="0" xfId="0" applyNumberFormat="1" applyFont="1" applyBorder="1" applyAlignment="1">
      <alignment horizontal="center"/>
    </xf>
    <xf numFmtId="0" fontId="15" fillId="0" borderId="0" xfId="0" applyNumberFormat="1" applyFont="1" applyBorder="1" applyAlignment="1">
      <alignment horizontal="center"/>
    </xf>
    <xf numFmtId="0" fontId="5" fillId="0" borderId="0" xfId="0" applyNumberFormat="1" applyFont="1" applyBorder="1" applyAlignment="1">
      <alignment horizontal="left" wrapText="1"/>
    </xf>
    <xf numFmtId="0" fontId="4" fillId="0" borderId="1" xfId="0" applyNumberFormat="1" applyFont="1" applyBorder="1" applyAlignment="1">
      <alignment horizontal="center" vertical="top"/>
    </xf>
    <xf numFmtId="49" fontId="4" fillId="0" borderId="1" xfId="0" applyNumberFormat="1" applyFont="1" applyBorder="1" applyAlignment="1">
      <alignment horizontal="center" vertical="top" wrapText="1"/>
    </xf>
    <xf numFmtId="0" fontId="5" fillId="3" borderId="0" xfId="0" applyNumberFormat="1" applyFont="1" applyFill="1" applyBorder="1" applyAlignment="1">
      <alignment horizontal="left" wrapText="1"/>
    </xf>
    <xf numFmtId="0" fontId="4" fillId="0" borderId="11" xfId="0" applyNumberFormat="1" applyFont="1" applyBorder="1" applyAlignment="1">
      <alignment horizontal="center" vertical="center" wrapText="1"/>
    </xf>
    <xf numFmtId="0" fontId="4" fillId="0" borderId="9" xfId="0" applyNumberFormat="1" applyFont="1" applyBorder="1" applyAlignment="1">
      <alignment horizontal="center" vertical="center" wrapText="1"/>
    </xf>
    <xf numFmtId="0" fontId="4" fillId="0" borderId="12" xfId="0" applyNumberFormat="1" applyFont="1" applyBorder="1" applyAlignment="1">
      <alignment horizontal="center" vertical="center" wrapText="1"/>
    </xf>
    <xf numFmtId="49" fontId="4" fillId="0" borderId="1" xfId="0" applyNumberFormat="1" applyFont="1" applyBorder="1" applyAlignment="1">
      <alignment horizontal="center" wrapText="1"/>
    </xf>
    <xf numFmtId="0" fontId="4" fillId="3" borderId="11" xfId="0" applyNumberFormat="1" applyFont="1" applyFill="1" applyBorder="1" applyAlignment="1">
      <alignment horizontal="left" vertical="center" wrapText="1"/>
    </xf>
    <xf numFmtId="0" fontId="4" fillId="3" borderId="9" xfId="0" applyNumberFormat="1" applyFont="1" applyFill="1" applyBorder="1" applyAlignment="1">
      <alignment horizontal="left" vertical="center" wrapText="1"/>
    </xf>
    <xf numFmtId="0" fontId="4" fillId="3" borderId="12" xfId="0" applyNumberFormat="1" applyFont="1" applyFill="1" applyBorder="1" applyAlignment="1">
      <alignment horizontal="left" vertical="center" wrapText="1"/>
    </xf>
    <xf numFmtId="0" fontId="4" fillId="0" borderId="11" xfId="0" applyNumberFormat="1" applyFont="1" applyBorder="1" applyAlignment="1">
      <alignment horizontal="left" vertical="top" wrapText="1"/>
    </xf>
    <xf numFmtId="0" fontId="4" fillId="0" borderId="9" xfId="0" applyNumberFormat="1" applyFont="1" applyBorder="1" applyAlignment="1">
      <alignment horizontal="left" vertical="top" wrapText="1"/>
    </xf>
    <xf numFmtId="0" fontId="4" fillId="0" borderId="12" xfId="0" applyNumberFormat="1" applyFont="1" applyBorder="1" applyAlignment="1">
      <alignment horizontal="left" vertical="top" wrapText="1"/>
    </xf>
    <xf numFmtId="0" fontId="4" fillId="0" borderId="11" xfId="0" applyNumberFormat="1" applyFont="1" applyBorder="1" applyAlignment="1">
      <alignment horizontal="center" wrapText="1"/>
    </xf>
    <xf numFmtId="0" fontId="4" fillId="0" borderId="9" xfId="0" applyNumberFormat="1" applyFont="1" applyBorder="1" applyAlignment="1">
      <alignment horizontal="center" wrapText="1"/>
    </xf>
    <xf numFmtId="0" fontId="4" fillId="0" borderId="12" xfId="0" applyNumberFormat="1" applyFont="1" applyBorder="1" applyAlignment="1">
      <alignment horizontal="center" wrapText="1"/>
    </xf>
    <xf numFmtId="0" fontId="5" fillId="0" borderId="0" xfId="0" applyNumberFormat="1" applyFont="1" applyBorder="1" applyAlignment="1">
      <alignment horizontal="center"/>
    </xf>
    <xf numFmtId="0" fontId="4" fillId="0" borderId="0" xfId="0" applyNumberFormat="1" applyFont="1" applyBorder="1" applyAlignment="1">
      <alignment horizontal="left" wrapText="1"/>
    </xf>
    <xf numFmtId="4" fontId="4" fillId="0" borderId="24" xfId="0" applyNumberFormat="1" applyFont="1" applyBorder="1" applyAlignment="1">
      <alignment horizontal="left" wrapText="1"/>
    </xf>
    <xf numFmtId="4" fontId="4" fillId="0" borderId="26" xfId="0" applyNumberFormat="1" applyFont="1" applyBorder="1" applyAlignment="1">
      <alignment horizontal="left" wrapText="1"/>
    </xf>
    <xf numFmtId="0" fontId="4" fillId="0" borderId="24" xfId="0" applyNumberFormat="1" applyFont="1" applyBorder="1" applyAlignment="1">
      <alignment horizontal="left" wrapText="1"/>
    </xf>
    <xf numFmtId="0" fontId="4" fillId="0" borderId="26" xfId="0" applyNumberFormat="1" applyFont="1" applyBorder="1" applyAlignment="1">
      <alignment horizontal="left" wrapText="1"/>
    </xf>
    <xf numFmtId="0" fontId="4" fillId="0" borderId="11" xfId="0" applyNumberFormat="1" applyFont="1" applyBorder="1" applyAlignment="1">
      <alignment horizontal="center"/>
    </xf>
    <xf numFmtId="0" fontId="4" fillId="0" borderId="9" xfId="0" applyNumberFormat="1" applyFont="1" applyBorder="1" applyAlignment="1">
      <alignment horizontal="center"/>
    </xf>
    <xf numFmtId="0" fontId="4" fillId="0" borderId="12" xfId="0" applyNumberFormat="1" applyFont="1" applyBorder="1" applyAlignment="1">
      <alignment horizontal="center"/>
    </xf>
    <xf numFmtId="4" fontId="4" fillId="0" borderId="24" xfId="0" applyNumberFormat="1" applyFont="1" applyBorder="1" applyAlignment="1">
      <alignment horizontal="center" wrapText="1"/>
    </xf>
    <xf numFmtId="4" fontId="4" fillId="0" borderId="26" xfId="0" applyNumberFormat="1" applyFont="1" applyBorder="1" applyAlignment="1">
      <alignment horizontal="center" wrapText="1"/>
    </xf>
    <xf numFmtId="0" fontId="4" fillId="0" borderId="0" xfId="0" applyNumberFormat="1" applyFont="1" applyBorder="1" applyAlignment="1">
      <alignment horizontal="left" vertical="top" wrapText="1"/>
    </xf>
    <xf numFmtId="0" fontId="37" fillId="0" borderId="1" xfId="0" applyFont="1" applyBorder="1" applyAlignment="1">
      <alignment horizontal="center" wrapText="1"/>
    </xf>
    <xf numFmtId="0" fontId="5" fillId="0" borderId="0" xfId="0" applyNumberFormat="1" applyFont="1" applyFill="1" applyBorder="1" applyAlignment="1">
      <alignment horizontal="left" wrapText="1"/>
    </xf>
    <xf numFmtId="0" fontId="4" fillId="0" borderId="24" xfId="0" applyNumberFormat="1" applyFont="1" applyFill="1" applyBorder="1" applyAlignment="1">
      <alignment horizontal="center" vertical="center" wrapText="1"/>
    </xf>
    <xf numFmtId="0" fontId="4" fillId="0" borderId="25" xfId="0" applyNumberFormat="1" applyFont="1" applyFill="1" applyBorder="1" applyAlignment="1">
      <alignment horizontal="center" vertical="center" wrapText="1"/>
    </xf>
    <xf numFmtId="0" fontId="4" fillId="0" borderId="26"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top"/>
    </xf>
    <xf numFmtId="49" fontId="4" fillId="0" borderId="1" xfId="0" applyNumberFormat="1" applyFont="1" applyFill="1" applyBorder="1" applyAlignment="1">
      <alignment horizontal="center" vertical="top" wrapText="1"/>
    </xf>
    <xf numFmtId="0" fontId="0" fillId="0" borderId="11" xfId="0" applyBorder="1" applyAlignment="1">
      <alignment horizontal="left" wrapText="1"/>
    </xf>
    <xf numFmtId="0" fontId="0" fillId="0" borderId="9" xfId="0" applyBorder="1" applyAlignment="1">
      <alignment horizontal="left" wrapText="1"/>
    </xf>
    <xf numFmtId="0" fontId="0" fillId="0" borderId="12" xfId="0" applyBorder="1" applyAlignment="1">
      <alignment horizontal="left"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4" xfId="0" applyBorder="1" applyAlignment="1">
      <alignment horizontal="center" vertical="center" textRotation="90" wrapText="1"/>
    </xf>
    <xf numFmtId="0" fontId="0" fillId="0" borderId="25" xfId="0" applyBorder="1" applyAlignment="1">
      <alignment horizontal="center" vertical="center" textRotation="90" wrapText="1"/>
    </xf>
    <xf numFmtId="0" fontId="0" fillId="0" borderId="26" xfId="0" applyBorder="1" applyAlignment="1">
      <alignment horizontal="center" vertical="center" textRotation="90" wrapText="1"/>
    </xf>
    <xf numFmtId="0" fontId="0" fillId="0" borderId="1" xfId="0" applyBorder="1" applyAlignment="1">
      <alignment horizontal="center"/>
    </xf>
    <xf numFmtId="0" fontId="5" fillId="0" borderId="0" xfId="0" applyNumberFormat="1" applyFont="1" applyBorder="1" applyAlignment="1">
      <alignment horizontal="left"/>
    </xf>
    <xf numFmtId="0" fontId="4" fillId="0" borderId="1" xfId="2" applyNumberFormat="1" applyFont="1" applyBorder="1" applyAlignment="1">
      <alignment horizontal="center" vertical="center" wrapText="1"/>
    </xf>
    <xf numFmtId="0" fontId="4" fillId="0" borderId="1" xfId="2" applyNumberFormat="1" applyFont="1" applyBorder="1" applyAlignment="1">
      <alignment horizontal="center" vertical="center"/>
    </xf>
    <xf numFmtId="2" fontId="4" fillId="0" borderId="1" xfId="2" applyNumberFormat="1" applyFont="1" applyBorder="1" applyAlignment="1">
      <alignment horizontal="center" vertical="center" wrapText="1"/>
    </xf>
    <xf numFmtId="0" fontId="0" fillId="0" borderId="0" xfId="0" applyAlignment="1">
      <alignment horizontal="left"/>
    </xf>
    <xf numFmtId="0" fontId="35" fillId="0" borderId="1" xfId="0" applyFont="1" applyBorder="1" applyAlignment="1">
      <alignment horizontal="center" vertical="top" wrapText="1"/>
    </xf>
    <xf numFmtId="0" fontId="0" fillId="0" borderId="27" xfId="0" applyBorder="1" applyAlignment="1">
      <alignment horizontal="left" wrapText="1"/>
    </xf>
    <xf numFmtId="0" fontId="0" fillId="0" borderId="10" xfId="0" applyBorder="1" applyAlignment="1">
      <alignment horizontal="left" wrapText="1"/>
    </xf>
    <xf numFmtId="0" fontId="0" fillId="0" borderId="28" xfId="0" applyBorder="1" applyAlignment="1">
      <alignment horizontal="left" wrapText="1"/>
    </xf>
    <xf numFmtId="0" fontId="4" fillId="0" borderId="1" xfId="0" applyFont="1" applyBorder="1" applyAlignment="1">
      <alignment horizont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7" xfId="0" applyFont="1" applyBorder="1" applyAlignment="1">
      <alignment horizontal="left" wrapText="1"/>
    </xf>
    <xf numFmtId="0" fontId="4" fillId="0" borderId="10" xfId="0" applyFont="1" applyBorder="1" applyAlignment="1">
      <alignment horizontal="left" wrapText="1"/>
    </xf>
    <xf numFmtId="0" fontId="4" fillId="0" borderId="28" xfId="0" applyFont="1" applyBorder="1" applyAlignment="1">
      <alignment horizontal="left" wrapText="1"/>
    </xf>
    <xf numFmtId="0" fontId="35" fillId="0" borderId="1" xfId="0" applyFont="1" applyBorder="1" applyAlignment="1">
      <alignment horizontal="center" vertical="center" wrapText="1"/>
    </xf>
    <xf numFmtId="0" fontId="4" fillId="0" borderId="31" xfId="0" applyFont="1" applyBorder="1" applyAlignment="1">
      <alignment horizontal="left" wrapText="1"/>
    </xf>
    <xf numFmtId="0" fontId="4" fillId="0" borderId="4" xfId="0" applyFont="1" applyBorder="1" applyAlignment="1">
      <alignment horizontal="left" wrapText="1"/>
    </xf>
    <xf numFmtId="0" fontId="0" fillId="0" borderId="11" xfId="0" applyBorder="1" applyAlignment="1">
      <alignment horizontal="center" wrapText="1"/>
    </xf>
    <xf numFmtId="0" fontId="0" fillId="0" borderId="9" xfId="0" applyBorder="1" applyAlignment="1">
      <alignment horizontal="center" wrapText="1"/>
    </xf>
    <xf numFmtId="0" fontId="0" fillId="0" borderId="12" xfId="0"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4" fillId="0" borderId="1" xfId="0" applyFont="1" applyBorder="1" applyAlignment="1">
      <alignment horizontal="center" vertical="top" wrapText="1"/>
    </xf>
  </cellXfs>
  <cellStyles count="21">
    <cellStyle name="Excel Built-in Normal" xfId="1"/>
    <cellStyle name="Обычный" xfId="0" builtinId="0"/>
    <cellStyle name="Обычный 2" xfId="2"/>
    <cellStyle name="Обычный 2 2" xfId="3"/>
    <cellStyle name="Обычный 2 3" xfId="4"/>
    <cellStyle name="Обычный 2 4" xfId="5"/>
    <cellStyle name="Обычный 2 5" xfId="6"/>
    <cellStyle name="Обычный 3" xfId="7"/>
    <cellStyle name="Обычный 3 2" xfId="8"/>
    <cellStyle name="Обычный 3 3" xfId="9"/>
    <cellStyle name="Обычный 4" xfId="10"/>
    <cellStyle name="Обычный 4 2" xfId="11"/>
    <cellStyle name="Обычный 5" xfId="12"/>
    <cellStyle name="Обычный 5 2" xfId="13"/>
    <cellStyle name="Обычный 6" xfId="14"/>
    <cellStyle name="Обычный 6 2" xfId="15"/>
    <cellStyle name="Обычный 7" xfId="16"/>
    <cellStyle name="Обычный 8" xfId="17"/>
    <cellStyle name="Обычный 9" xfId="18"/>
    <cellStyle name="Обычный 9 2" xfId="19"/>
    <cellStyle name="Финансовый 2" xfId="20"/>
  </cellStyles>
  <dxfs count="2">
    <dxf>
      <font>
        <color theme="0"/>
      </font>
    </dxf>
    <dxf>
      <font>
        <strik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6" Type="http://schemas.openxmlformats.org/officeDocument/2006/relationships/printerSettings" Target="../printerSettings/printerSettings67.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 Id="rId6" Type="http://schemas.openxmlformats.org/officeDocument/2006/relationships/printerSettings" Target="../printerSettings/printerSettings73.bin"/><Relationship Id="rId5" Type="http://schemas.openxmlformats.org/officeDocument/2006/relationships/printerSettings" Target="../printerSettings/printerSettings72.bin"/><Relationship Id="rId4" Type="http://schemas.openxmlformats.org/officeDocument/2006/relationships/printerSettings" Target="../printerSettings/printerSettings7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6" Type="http://schemas.openxmlformats.org/officeDocument/2006/relationships/printerSettings" Target="../printerSettings/printerSettings82.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5" Type="http://schemas.openxmlformats.org/officeDocument/2006/relationships/printerSettings" Target="../printerSettings/printerSettings88.bin"/><Relationship Id="rId4" Type="http://schemas.openxmlformats.org/officeDocument/2006/relationships/printerSettings" Target="../printerSettings/printerSettings8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21.bin"/><Relationship Id="rId7" Type="http://schemas.openxmlformats.org/officeDocument/2006/relationships/vmlDrawing" Target="../drawings/vmlDrawing1.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5" Type="http://schemas.openxmlformats.org/officeDocument/2006/relationships/printerSettings" Target="../printerSettings/printerSettings48.bin"/><Relationship Id="rId4" Type="http://schemas.openxmlformats.org/officeDocument/2006/relationships/printerSettings" Target="../printerSettings/printerSettings4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G167"/>
  <sheetViews>
    <sheetView tabSelected="1" view="pageBreakPreview" zoomScale="70" zoomScaleNormal="120" zoomScaleSheetLayoutView="70" workbookViewId="0">
      <selection activeCell="P151" sqref="P150:P151"/>
    </sheetView>
  </sheetViews>
  <sheetFormatPr defaultColWidth="11.42578125" defaultRowHeight="12.75" x14ac:dyDescent="0.2"/>
  <cols>
    <col min="1" max="1" width="7" style="47" customWidth="1"/>
    <col min="2" max="2" width="6.140625" style="47" customWidth="1"/>
    <col min="3" max="4" width="11.42578125" style="47" customWidth="1"/>
    <col min="5" max="5" width="17" style="47" customWidth="1"/>
    <col min="6" max="7" width="11.42578125" style="47" customWidth="1"/>
    <col min="8" max="8" width="18.5703125" style="47" customWidth="1"/>
    <col min="9" max="9" width="15.7109375" style="47" customWidth="1"/>
    <col min="10" max="10" width="17.7109375" style="47" customWidth="1"/>
    <col min="11" max="11" width="16.5703125" style="47" customWidth="1"/>
    <col min="12" max="12" width="18.28515625" style="47" customWidth="1"/>
    <col min="13" max="13" width="17.28515625" style="47" customWidth="1"/>
    <col min="14" max="14" width="11.42578125" style="47" customWidth="1"/>
    <col min="15" max="15" width="7.7109375" style="47" customWidth="1"/>
    <col min="16" max="16" width="4.5703125" style="47" customWidth="1"/>
    <col min="17" max="17" width="5.7109375" style="47" customWidth="1"/>
    <col min="18" max="18" width="18.140625" style="162" customWidth="1"/>
    <col min="19" max="19" width="16.42578125" style="162" bestFit="1" customWidth="1"/>
    <col min="20" max="20" width="12.140625" style="47" customWidth="1"/>
    <col min="21" max="21" width="14.85546875" style="47" customWidth="1"/>
    <col min="22" max="22" width="16" style="47" customWidth="1"/>
    <col min="23" max="23" width="13.42578125" style="47" customWidth="1"/>
    <col min="24" max="24" width="14.42578125" style="47" customWidth="1"/>
    <col min="25" max="29" width="11.42578125" style="47"/>
    <col min="30" max="31" width="16.42578125" style="47" bestFit="1" customWidth="1"/>
    <col min="32" max="16384" width="11.42578125" style="47"/>
  </cols>
  <sheetData>
    <row r="1" spans="1:163" s="91" customFormat="1" ht="18.75" x14ac:dyDescent="0.3">
      <c r="A1" s="162"/>
      <c r="B1" s="96"/>
      <c r="C1" s="96"/>
      <c r="D1" s="96"/>
      <c r="E1" s="96"/>
      <c r="F1" s="96"/>
      <c r="G1" s="96"/>
      <c r="H1" s="96"/>
      <c r="I1" s="96"/>
      <c r="J1" s="96"/>
      <c r="K1" s="473" t="s">
        <v>158</v>
      </c>
      <c r="L1" s="473"/>
      <c r="M1" s="473"/>
      <c r="N1" s="473"/>
      <c r="O1" s="473"/>
      <c r="P1" s="473"/>
      <c r="Q1" s="473"/>
      <c r="R1" s="162"/>
      <c r="S1" s="162"/>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28"/>
      <c r="DY1" s="28"/>
      <c r="DZ1" s="45"/>
      <c r="EA1" s="45"/>
      <c r="EB1" s="44"/>
      <c r="EC1" s="46"/>
      <c r="ED1" s="46"/>
      <c r="EE1" s="46"/>
      <c r="EF1" s="46"/>
      <c r="EG1" s="46"/>
      <c r="EH1" s="46"/>
      <c r="EI1" s="46"/>
      <c r="EJ1" s="46"/>
      <c r="EK1" s="46"/>
      <c r="EL1" s="46"/>
      <c r="EM1" s="46"/>
      <c r="EN1" s="46"/>
      <c r="EO1" s="46"/>
      <c r="EP1" s="46"/>
      <c r="EQ1" s="46"/>
      <c r="ER1" s="46"/>
      <c r="ES1" s="46"/>
      <c r="ET1" s="46"/>
      <c r="EU1" s="44"/>
      <c r="EV1" s="44"/>
      <c r="EW1" s="44"/>
      <c r="EX1" s="44"/>
      <c r="EY1" s="44"/>
      <c r="EZ1" s="44"/>
      <c r="FA1" s="44"/>
      <c r="FB1" s="44"/>
      <c r="FC1" s="44"/>
      <c r="FD1" s="44"/>
      <c r="FE1" s="44"/>
      <c r="FF1" s="44"/>
      <c r="FG1" s="44"/>
    </row>
    <row r="2" spans="1:163" s="91" customFormat="1" ht="18.75" x14ac:dyDescent="0.3">
      <c r="A2" s="162"/>
      <c r="B2" s="96"/>
      <c r="C2" s="96"/>
      <c r="D2" s="96"/>
      <c r="E2" s="96"/>
      <c r="F2" s="96"/>
      <c r="G2" s="97"/>
      <c r="H2" s="97"/>
      <c r="I2" s="97"/>
      <c r="J2" s="97"/>
      <c r="K2" s="478" t="s">
        <v>615</v>
      </c>
      <c r="L2" s="478"/>
      <c r="M2" s="432" t="str">
        <f>R11</f>
        <v xml:space="preserve"> МБОУ СШ № 73</v>
      </c>
      <c r="N2" s="432"/>
      <c r="O2" s="432"/>
      <c r="P2" s="432"/>
      <c r="Q2" s="97"/>
      <c r="R2" s="162"/>
      <c r="S2" s="162"/>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28"/>
      <c r="DY2" s="28"/>
      <c r="DZ2" s="45"/>
      <c r="EA2" s="45"/>
      <c r="EB2" s="44"/>
      <c r="EC2" s="46"/>
      <c r="ED2" s="46"/>
      <c r="EE2" s="46"/>
      <c r="EF2" s="46"/>
      <c r="EG2" s="46"/>
      <c r="EH2" s="46"/>
      <c r="EI2" s="46"/>
      <c r="EJ2" s="46"/>
      <c r="EK2" s="46"/>
      <c r="EL2" s="46"/>
      <c r="EM2" s="46"/>
      <c r="EN2" s="46"/>
      <c r="EO2" s="46"/>
      <c r="EP2" s="46"/>
      <c r="EQ2" s="46"/>
      <c r="ER2" s="46"/>
      <c r="ES2" s="46"/>
      <c r="ET2" s="46"/>
      <c r="EU2" s="44"/>
      <c r="EV2" s="44"/>
      <c r="EW2" s="44"/>
      <c r="EX2" s="44"/>
      <c r="EY2" s="44"/>
      <c r="EZ2" s="44"/>
      <c r="FA2" s="44"/>
      <c r="FB2" s="44"/>
      <c r="FC2" s="44"/>
      <c r="FD2" s="44"/>
      <c r="FE2" s="44"/>
      <c r="FF2" s="44"/>
      <c r="FG2" s="44"/>
    </row>
    <row r="3" spans="1:163" s="91" customFormat="1" ht="18.75" customHeight="1" x14ac:dyDescent="0.3">
      <c r="A3" s="162"/>
      <c r="B3" s="96"/>
      <c r="C3" s="96"/>
      <c r="D3" s="96"/>
      <c r="E3" s="96"/>
      <c r="F3" s="96"/>
      <c r="G3" s="96"/>
      <c r="H3" s="96"/>
      <c r="I3" s="96"/>
      <c r="J3" s="96"/>
      <c r="K3" s="434" t="s">
        <v>393</v>
      </c>
      <c r="L3" s="434"/>
      <c r="M3" s="434"/>
      <c r="N3" s="434"/>
      <c r="O3" s="434"/>
      <c r="P3" s="434"/>
      <c r="Q3" s="98"/>
      <c r="R3" s="162"/>
      <c r="S3" s="162"/>
    </row>
    <row r="4" spans="1:163" s="91" customFormat="1" ht="39" customHeight="1" x14ac:dyDescent="0.3">
      <c r="A4" s="162"/>
      <c r="B4" s="96"/>
      <c r="C4" s="96"/>
      <c r="D4" s="96"/>
      <c r="E4" s="96"/>
      <c r="F4" s="96"/>
      <c r="G4" s="97"/>
      <c r="H4" s="97"/>
      <c r="I4" s="97"/>
      <c r="J4" s="97"/>
      <c r="K4" s="435"/>
      <c r="L4" s="435"/>
      <c r="M4" s="96"/>
      <c r="N4" s="435"/>
      <c r="O4" s="435"/>
      <c r="P4" s="435"/>
      <c r="Q4" s="97"/>
      <c r="R4" s="162"/>
      <c r="S4" s="162"/>
    </row>
    <row r="5" spans="1:163" s="91" customFormat="1" ht="18.75" x14ac:dyDescent="0.3">
      <c r="A5" s="162"/>
      <c r="B5" s="96"/>
      <c r="C5" s="96"/>
      <c r="D5" s="96"/>
      <c r="E5" s="96"/>
      <c r="F5" s="96"/>
      <c r="G5" s="96"/>
      <c r="H5" s="96"/>
      <c r="I5" s="96"/>
      <c r="J5" s="97"/>
      <c r="K5" s="474" t="s">
        <v>159</v>
      </c>
      <c r="L5" s="474"/>
      <c r="M5" s="436" t="s">
        <v>160</v>
      </c>
      <c r="N5" s="436"/>
      <c r="O5" s="436"/>
      <c r="P5" s="436"/>
      <c r="Q5" s="97"/>
      <c r="R5" s="162"/>
      <c r="S5" s="162"/>
    </row>
    <row r="6" spans="1:163" s="91" customFormat="1" ht="18.75" x14ac:dyDescent="0.3">
      <c r="A6" s="162"/>
      <c r="B6" s="96"/>
      <c r="C6" s="96"/>
      <c r="D6" s="96"/>
      <c r="E6" s="96"/>
      <c r="F6" s="96"/>
      <c r="G6" s="96"/>
      <c r="H6" s="96"/>
      <c r="I6" s="96"/>
      <c r="J6" s="96"/>
      <c r="K6" s="96"/>
      <c r="L6" s="96"/>
      <c r="M6" s="96"/>
      <c r="N6" s="96"/>
      <c r="O6" s="96"/>
      <c r="P6" s="297"/>
      <c r="Q6" s="96"/>
      <c r="R6" s="162"/>
      <c r="S6" s="162"/>
    </row>
    <row r="7" spans="1:163" s="91" customFormat="1" ht="18.75" x14ac:dyDescent="0.3">
      <c r="A7" s="162"/>
      <c r="B7" s="96"/>
      <c r="C7" s="96"/>
      <c r="D7" s="96"/>
      <c r="E7" s="96"/>
      <c r="F7" s="96"/>
      <c r="G7" s="96"/>
      <c r="H7" s="96"/>
      <c r="I7" s="96"/>
      <c r="J7" s="97"/>
      <c r="K7" s="97"/>
      <c r="L7" s="96"/>
      <c r="M7" s="97"/>
      <c r="N7" s="437">
        <f>G10</f>
        <v>45181</v>
      </c>
      <c r="O7" s="437"/>
      <c r="P7" s="437"/>
      <c r="Q7" s="97"/>
      <c r="R7" s="162"/>
      <c r="S7" s="162"/>
    </row>
    <row r="8" spans="1:163" s="91" customFormat="1" ht="39" customHeight="1" x14ac:dyDescent="0.3">
      <c r="A8" s="162"/>
      <c r="B8" s="96"/>
      <c r="C8" s="96"/>
      <c r="D8" s="96"/>
      <c r="E8" s="96"/>
      <c r="F8" s="98"/>
      <c r="G8" s="483" t="s">
        <v>591</v>
      </c>
      <c r="H8" s="483"/>
      <c r="I8" s="483"/>
      <c r="J8" s="483"/>
      <c r="K8" s="98"/>
      <c r="L8" s="98"/>
      <c r="M8" s="98"/>
      <c r="N8" s="98"/>
      <c r="O8" s="98"/>
      <c r="P8" s="98"/>
      <c r="Q8" s="96"/>
      <c r="R8" s="162"/>
      <c r="S8" s="162"/>
    </row>
    <row r="9" spans="1:163" s="91" customFormat="1" ht="17.25" customHeight="1" x14ac:dyDescent="0.3">
      <c r="A9" s="162"/>
      <c r="B9" s="96"/>
      <c r="C9" s="96"/>
      <c r="D9" s="96"/>
      <c r="E9" s="96"/>
      <c r="F9" s="97"/>
      <c r="G9" s="476" t="s">
        <v>590</v>
      </c>
      <c r="H9" s="476"/>
      <c r="I9" s="476"/>
      <c r="J9" s="476"/>
      <c r="K9" s="97"/>
      <c r="L9" s="97"/>
      <c r="M9" s="97"/>
      <c r="N9" s="97"/>
      <c r="O9" s="476" t="s">
        <v>161</v>
      </c>
      <c r="P9" s="476"/>
      <c r="Q9" s="476"/>
      <c r="R9" s="162"/>
      <c r="S9" s="162"/>
    </row>
    <row r="10" spans="1:163" s="91" customFormat="1" ht="18" customHeight="1" x14ac:dyDescent="0.3">
      <c r="A10" s="162"/>
      <c r="B10" s="96"/>
      <c r="C10" s="96"/>
      <c r="D10" s="96"/>
      <c r="E10" s="96"/>
      <c r="F10" s="97"/>
      <c r="G10" s="437">
        <f>O11</f>
        <v>45181</v>
      </c>
      <c r="H10" s="437"/>
      <c r="I10" s="437"/>
      <c r="J10" s="437"/>
      <c r="K10" s="97"/>
      <c r="L10" s="97"/>
      <c r="M10" s="97"/>
      <c r="N10" s="97"/>
      <c r="O10" s="96"/>
      <c r="P10" s="297"/>
      <c r="Q10" s="96"/>
      <c r="R10" s="162"/>
      <c r="S10" s="162"/>
    </row>
    <row r="11" spans="1:163" s="91" customFormat="1" ht="18" customHeight="1" x14ac:dyDescent="0.3">
      <c r="A11" s="162"/>
      <c r="B11" s="96"/>
      <c r="C11" s="96"/>
      <c r="D11" s="96"/>
      <c r="E11" s="96"/>
      <c r="F11" s="96"/>
      <c r="G11" s="96"/>
      <c r="H11" s="96"/>
      <c r="I11" s="96"/>
      <c r="J11" s="96"/>
      <c r="K11" s="96"/>
      <c r="L11" s="96"/>
      <c r="M11" s="96"/>
      <c r="N11" s="99" t="s">
        <v>162</v>
      </c>
      <c r="O11" s="477">
        <v>45181</v>
      </c>
      <c r="P11" s="477"/>
      <c r="Q11" s="477"/>
      <c r="R11" s="227" t="s">
        <v>613</v>
      </c>
      <c r="S11" s="162"/>
    </row>
    <row r="12" spans="1:163" s="91" customFormat="1" ht="18" customHeight="1" x14ac:dyDescent="0.3">
      <c r="A12" s="98"/>
      <c r="B12" s="433" t="s">
        <v>394</v>
      </c>
      <c r="C12" s="433"/>
      <c r="D12" s="433"/>
      <c r="E12" s="433"/>
      <c r="F12" s="473" t="s">
        <v>163</v>
      </c>
      <c r="G12" s="473"/>
      <c r="H12" s="473"/>
      <c r="I12" s="473"/>
      <c r="J12" s="473"/>
      <c r="K12" s="473"/>
      <c r="L12" s="96"/>
      <c r="M12" s="96"/>
      <c r="N12" s="99" t="s">
        <v>164</v>
      </c>
      <c r="O12" s="442" t="str">
        <f>R12</f>
        <v>043Щ4984</v>
      </c>
      <c r="P12" s="442"/>
      <c r="Q12" s="442"/>
      <c r="R12" s="324" t="s">
        <v>630</v>
      </c>
      <c r="S12" s="162"/>
    </row>
    <row r="13" spans="1:163" s="91" customFormat="1" ht="18" customHeight="1" x14ac:dyDescent="0.3">
      <c r="A13" s="98"/>
      <c r="B13" s="433"/>
      <c r="C13" s="433"/>
      <c r="D13" s="433"/>
      <c r="E13" s="433"/>
      <c r="F13" s="473"/>
      <c r="G13" s="473"/>
      <c r="H13" s="473"/>
      <c r="I13" s="473"/>
      <c r="J13" s="473"/>
      <c r="K13" s="473"/>
      <c r="L13" s="96"/>
      <c r="M13" s="96"/>
      <c r="N13" s="99" t="s">
        <v>165</v>
      </c>
      <c r="O13" s="442" t="str">
        <f t="shared" ref="O13:O17" si="0">R13</f>
        <v>912</v>
      </c>
      <c r="P13" s="442"/>
      <c r="Q13" s="442"/>
      <c r="R13" s="317" t="s">
        <v>166</v>
      </c>
      <c r="S13" s="162"/>
    </row>
    <row r="14" spans="1:163" s="91" customFormat="1" ht="18" customHeight="1" x14ac:dyDescent="0.3">
      <c r="A14" s="162"/>
      <c r="B14" s="96"/>
      <c r="C14" s="96"/>
      <c r="D14" s="96"/>
      <c r="E14" s="96"/>
      <c r="F14" s="96"/>
      <c r="G14" s="96"/>
      <c r="H14" s="96"/>
      <c r="I14" s="96"/>
      <c r="J14" s="96"/>
      <c r="K14" s="96"/>
      <c r="L14" s="96"/>
      <c r="M14" s="96"/>
      <c r="N14" s="99" t="s">
        <v>164</v>
      </c>
      <c r="O14" s="442" t="str">
        <f t="shared" si="0"/>
        <v>043Щ4984</v>
      </c>
      <c r="P14" s="442"/>
      <c r="Q14" s="442"/>
      <c r="R14" s="318" t="s">
        <v>630</v>
      </c>
      <c r="S14" s="162"/>
    </row>
    <row r="15" spans="1:163" s="91" customFormat="1" ht="18" customHeight="1" x14ac:dyDescent="0.3">
      <c r="A15" s="162"/>
      <c r="B15" s="96"/>
      <c r="C15" s="96"/>
      <c r="D15" s="96"/>
      <c r="E15" s="96"/>
      <c r="F15" s="96"/>
      <c r="G15" s="96"/>
      <c r="H15" s="96"/>
      <c r="I15" s="96"/>
      <c r="J15" s="96"/>
      <c r="K15" s="96"/>
      <c r="L15" s="96"/>
      <c r="M15" s="96"/>
      <c r="N15" s="99" t="s">
        <v>167</v>
      </c>
      <c r="O15" s="442">
        <f t="shared" si="0"/>
        <v>2463038090</v>
      </c>
      <c r="P15" s="442"/>
      <c r="Q15" s="442"/>
      <c r="R15" s="318">
        <v>2463038090</v>
      </c>
      <c r="S15" s="162"/>
    </row>
    <row r="16" spans="1:163" s="91" customFormat="1" ht="18" customHeight="1" x14ac:dyDescent="0.3">
      <c r="A16" s="162"/>
      <c r="B16" s="96" t="s">
        <v>168</v>
      </c>
      <c r="C16" s="96"/>
      <c r="D16" s="100" t="s">
        <v>614</v>
      </c>
      <c r="E16" s="96"/>
      <c r="F16" s="96"/>
      <c r="G16" s="96"/>
      <c r="H16" s="96"/>
      <c r="I16" s="96"/>
      <c r="J16" s="96"/>
      <c r="K16" s="96"/>
      <c r="L16" s="96"/>
      <c r="M16" s="96"/>
      <c r="N16" s="99" t="s">
        <v>169</v>
      </c>
      <c r="O16" s="442">
        <f t="shared" si="0"/>
        <v>246501001</v>
      </c>
      <c r="P16" s="442"/>
      <c r="Q16" s="442"/>
      <c r="R16" s="318">
        <v>246501001</v>
      </c>
      <c r="S16" s="162"/>
    </row>
    <row r="17" spans="1:24" s="91" customFormat="1" ht="18.75" x14ac:dyDescent="0.3">
      <c r="A17" s="162"/>
      <c r="B17" s="28" t="s">
        <v>170</v>
      </c>
      <c r="C17" s="28"/>
      <c r="D17" s="220"/>
      <c r="E17" s="96"/>
      <c r="F17" s="96"/>
      <c r="G17" s="96"/>
      <c r="H17" s="96"/>
      <c r="I17" s="96"/>
      <c r="J17" s="96"/>
      <c r="K17" s="96"/>
      <c r="L17" s="96"/>
      <c r="M17" s="96"/>
      <c r="N17" s="99" t="s">
        <v>171</v>
      </c>
      <c r="O17" s="442" t="str">
        <f t="shared" si="0"/>
        <v>383</v>
      </c>
      <c r="P17" s="442"/>
      <c r="Q17" s="442"/>
      <c r="R17" s="317" t="s">
        <v>172</v>
      </c>
      <c r="S17" s="162"/>
    </row>
    <row r="18" spans="1:24" s="91" customFormat="1" ht="18.75" x14ac:dyDescent="0.3">
      <c r="A18" s="162"/>
      <c r="B18" s="96"/>
      <c r="C18" s="96"/>
      <c r="D18" s="96"/>
      <c r="E18" s="96"/>
      <c r="F18" s="96"/>
      <c r="G18" s="96"/>
      <c r="H18" s="96"/>
      <c r="I18" s="96"/>
      <c r="J18" s="96"/>
      <c r="K18" s="96"/>
      <c r="L18" s="96"/>
      <c r="M18" s="96"/>
      <c r="N18" s="96"/>
      <c r="O18" s="96"/>
      <c r="P18" s="297"/>
      <c r="Q18" s="96"/>
      <c r="R18" s="162"/>
      <c r="S18" s="162"/>
    </row>
    <row r="19" spans="1:24" s="91" customFormat="1" ht="18" customHeight="1" x14ac:dyDescent="0.3">
      <c r="A19" s="162"/>
      <c r="F19" s="5"/>
      <c r="G19" s="5"/>
      <c r="H19" s="484" t="s">
        <v>173</v>
      </c>
      <c r="I19" s="484"/>
      <c r="J19" s="484"/>
      <c r="M19" s="5"/>
      <c r="N19" s="5"/>
      <c r="P19" s="227"/>
      <c r="R19" s="162"/>
      <c r="S19" s="162"/>
      <c r="T19" s="227"/>
      <c r="U19" s="316">
        <v>2023</v>
      </c>
      <c r="V19" s="316">
        <v>2024</v>
      </c>
      <c r="W19" s="316">
        <v>2025</v>
      </c>
    </row>
    <row r="20" spans="1:24" s="91" customFormat="1" ht="15.75" customHeight="1" x14ac:dyDescent="0.2">
      <c r="A20" s="162"/>
      <c r="B20" s="475" t="s">
        <v>36</v>
      </c>
      <c r="C20" s="475"/>
      <c r="D20" s="475"/>
      <c r="E20" s="475"/>
      <c r="F20" s="475" t="s">
        <v>2</v>
      </c>
      <c r="G20" s="453" t="s">
        <v>174</v>
      </c>
      <c r="H20" s="454" t="s">
        <v>175</v>
      </c>
      <c r="I20" s="454"/>
      <c r="J20" s="454"/>
      <c r="K20" s="454"/>
      <c r="L20" s="454"/>
      <c r="M20" s="454"/>
      <c r="N20" s="454"/>
      <c r="O20" s="454"/>
      <c r="P20" s="454"/>
      <c r="Q20" s="5"/>
      <c r="R20" s="227"/>
      <c r="S20" s="227"/>
      <c r="T20" s="364" t="s">
        <v>627</v>
      </c>
      <c r="U20" s="430">
        <v>36868514.640000001</v>
      </c>
      <c r="V20" s="430">
        <v>36286668.420000002</v>
      </c>
      <c r="W20" s="430">
        <v>37152306.109999999</v>
      </c>
    </row>
    <row r="21" spans="1:24" s="91" customFormat="1" ht="12.75" customHeight="1" x14ac:dyDescent="0.2">
      <c r="A21" s="162"/>
      <c r="B21" s="475"/>
      <c r="C21" s="475"/>
      <c r="D21" s="475"/>
      <c r="E21" s="475"/>
      <c r="F21" s="475"/>
      <c r="G21" s="453"/>
      <c r="H21" s="454" t="s">
        <v>477</v>
      </c>
      <c r="I21" s="454"/>
      <c r="J21" s="454" t="s">
        <v>577</v>
      </c>
      <c r="K21" s="454"/>
      <c r="L21" s="454" t="s">
        <v>578</v>
      </c>
      <c r="M21" s="454"/>
      <c r="N21" s="453" t="s">
        <v>176</v>
      </c>
      <c r="O21" s="453"/>
      <c r="P21" s="453"/>
      <c r="R21" s="227"/>
      <c r="S21" s="227"/>
      <c r="T21" s="364" t="s">
        <v>627</v>
      </c>
      <c r="U21" s="430">
        <v>341561</v>
      </c>
      <c r="V21" s="430">
        <v>816590</v>
      </c>
      <c r="W21" s="430">
        <v>0</v>
      </c>
    </row>
    <row r="22" spans="1:24" s="91" customFormat="1" ht="30" customHeight="1" x14ac:dyDescent="0.2">
      <c r="A22" s="162"/>
      <c r="B22" s="475"/>
      <c r="C22" s="475"/>
      <c r="D22" s="475"/>
      <c r="E22" s="475"/>
      <c r="F22" s="475"/>
      <c r="G22" s="453"/>
      <c r="H22" s="454" t="s">
        <v>177</v>
      </c>
      <c r="I22" s="454"/>
      <c r="J22" s="454" t="s">
        <v>178</v>
      </c>
      <c r="K22" s="454"/>
      <c r="L22" s="454" t="s">
        <v>179</v>
      </c>
      <c r="M22" s="454"/>
      <c r="N22" s="453"/>
      <c r="O22" s="453"/>
      <c r="P22" s="453"/>
      <c r="R22" s="227"/>
      <c r="S22" s="227"/>
      <c r="T22" s="156"/>
      <c r="U22" s="365">
        <f>H33</f>
        <v>37210075.640000001</v>
      </c>
      <c r="V22" s="365">
        <f>J33</f>
        <v>37103258.420000002</v>
      </c>
      <c r="W22" s="365">
        <f>L33</f>
        <v>37152306.109999999</v>
      </c>
    </row>
    <row r="23" spans="1:24" s="91" customFormat="1" ht="61.5" customHeight="1" x14ac:dyDescent="0.2">
      <c r="A23" s="162"/>
      <c r="B23" s="475"/>
      <c r="C23" s="475"/>
      <c r="D23" s="475"/>
      <c r="E23" s="475"/>
      <c r="F23" s="475"/>
      <c r="G23" s="453"/>
      <c r="H23" s="93" t="s">
        <v>396</v>
      </c>
      <c r="I23" s="90" t="s">
        <v>395</v>
      </c>
      <c r="J23" s="93" t="s">
        <v>396</v>
      </c>
      <c r="K23" s="90" t="s">
        <v>395</v>
      </c>
      <c r="L23" s="93" t="s">
        <v>396</v>
      </c>
      <c r="M23" s="90" t="s">
        <v>395</v>
      </c>
      <c r="N23" s="304" t="s">
        <v>396</v>
      </c>
      <c r="O23" s="453" t="s">
        <v>395</v>
      </c>
      <c r="P23" s="453"/>
      <c r="R23" s="227"/>
      <c r="S23" s="227"/>
      <c r="T23" s="366" t="s">
        <v>628</v>
      </c>
      <c r="U23" s="367">
        <f>U20+U21-U22</f>
        <v>0</v>
      </c>
      <c r="V23" s="367">
        <f t="shared" ref="V23:W23" si="1">V20+V21-V22</f>
        <v>0</v>
      </c>
      <c r="W23" s="367">
        <f t="shared" si="1"/>
        <v>0</v>
      </c>
    </row>
    <row r="24" spans="1:24" s="91" customFormat="1" x14ac:dyDescent="0.2">
      <c r="A24" s="162"/>
      <c r="B24" s="454">
        <v>1</v>
      </c>
      <c r="C24" s="454"/>
      <c r="D24" s="454"/>
      <c r="E24" s="454"/>
      <c r="F24" s="89">
        <v>2</v>
      </c>
      <c r="G24" s="89">
        <v>3</v>
      </c>
      <c r="H24" s="89">
        <v>4</v>
      </c>
      <c r="I24" s="89">
        <v>5</v>
      </c>
      <c r="J24" s="89">
        <v>6</v>
      </c>
      <c r="K24" s="89">
        <v>7</v>
      </c>
      <c r="L24" s="89">
        <v>8</v>
      </c>
      <c r="M24" s="89">
        <v>9</v>
      </c>
      <c r="N24" s="89">
        <v>10</v>
      </c>
      <c r="O24" s="454">
        <v>11</v>
      </c>
      <c r="P24" s="454"/>
      <c r="Q24" s="92"/>
      <c r="R24" s="162"/>
      <c r="S24" s="162"/>
    </row>
    <row r="25" spans="1:24" s="91" customFormat="1" ht="18" customHeight="1" x14ac:dyDescent="0.3">
      <c r="A25" s="162"/>
      <c r="B25" s="454" t="s">
        <v>180</v>
      </c>
      <c r="C25" s="454"/>
      <c r="D25" s="454"/>
      <c r="E25" s="454"/>
      <c r="F25" s="252" t="s">
        <v>10</v>
      </c>
      <c r="G25" s="252" t="s">
        <v>14</v>
      </c>
      <c r="H25" s="253">
        <v>600183.83000000007</v>
      </c>
      <c r="I25" s="253">
        <v>21610.760000000002</v>
      </c>
      <c r="J25" s="252">
        <v>0</v>
      </c>
      <c r="K25" s="253">
        <v>0</v>
      </c>
      <c r="L25" s="252">
        <v>0</v>
      </c>
      <c r="M25" s="179">
        <f>K25</f>
        <v>0</v>
      </c>
      <c r="N25" s="252" t="s">
        <v>181</v>
      </c>
      <c r="O25" s="441" t="s">
        <v>181</v>
      </c>
      <c r="P25" s="441"/>
      <c r="Q25" s="251"/>
      <c r="R25" s="15"/>
      <c r="S25" s="162"/>
    </row>
    <row r="26" spans="1:24" s="91" customFormat="1" ht="18" customHeight="1" x14ac:dyDescent="0.3">
      <c r="A26" s="162"/>
      <c r="B26" s="455" t="s">
        <v>182</v>
      </c>
      <c r="C26" s="455"/>
      <c r="D26" s="455"/>
      <c r="E26" s="455"/>
      <c r="F26" s="252" t="s">
        <v>11</v>
      </c>
      <c r="G26" s="252" t="s">
        <v>14</v>
      </c>
      <c r="H26" s="252">
        <v>0</v>
      </c>
      <c r="I26" s="254">
        <v>0</v>
      </c>
      <c r="J26" s="252">
        <v>0</v>
      </c>
      <c r="K26" s="252">
        <v>0</v>
      </c>
      <c r="L26" s="252">
        <v>0</v>
      </c>
      <c r="M26" s="252">
        <v>0</v>
      </c>
      <c r="N26" s="252" t="s">
        <v>181</v>
      </c>
      <c r="O26" s="441" t="s">
        <v>181</v>
      </c>
      <c r="P26" s="441"/>
      <c r="Q26" s="251"/>
      <c r="R26" s="368" t="s">
        <v>629</v>
      </c>
      <c r="S26" s="116"/>
      <c r="T26" s="116" t="s">
        <v>554</v>
      </c>
      <c r="U26" s="116" t="s">
        <v>555</v>
      </c>
      <c r="V26" s="116"/>
      <c r="W26" s="115"/>
      <c r="X26" s="118" t="s">
        <v>556</v>
      </c>
    </row>
    <row r="27" spans="1:24" s="91" customFormat="1" ht="18" customHeight="1" x14ac:dyDescent="0.3">
      <c r="A27" s="162"/>
      <c r="B27" s="492" t="s">
        <v>183</v>
      </c>
      <c r="C27" s="492"/>
      <c r="D27" s="492"/>
      <c r="E27" s="492"/>
      <c r="F27" s="255" t="s">
        <v>184</v>
      </c>
      <c r="G27" s="255"/>
      <c r="H27" s="256">
        <f>H32+H41</f>
        <v>37560075.640000001</v>
      </c>
      <c r="I27" s="256">
        <f>I32+I38+I40+I43+I28</f>
        <v>187938.08999999997</v>
      </c>
      <c r="J27" s="256">
        <f>J32+J41</f>
        <v>37103258.420000002</v>
      </c>
      <c r="K27" s="256">
        <f t="shared" ref="K27:M27" si="2">K32+K40+K28+K43+K47+K50</f>
        <v>63256</v>
      </c>
      <c r="L27" s="256">
        <f>L32+L41</f>
        <v>37152306.109999999</v>
      </c>
      <c r="M27" s="256">
        <f t="shared" si="2"/>
        <v>63256</v>
      </c>
      <c r="N27" s="256"/>
      <c r="O27" s="441" t="s">
        <v>181</v>
      </c>
      <c r="P27" s="441"/>
      <c r="Q27" s="251"/>
      <c r="R27" s="367">
        <f>I27</f>
        <v>187938.08999999997</v>
      </c>
      <c r="S27" s="119"/>
      <c r="T27" s="119">
        <f>H41</f>
        <v>350000</v>
      </c>
      <c r="U27" s="119">
        <f>H33</f>
        <v>37210075.640000001</v>
      </c>
      <c r="V27" s="119">
        <f>T27+U27</f>
        <v>37560075.640000001</v>
      </c>
      <c r="W27" s="119">
        <f>H27-V27</f>
        <v>0</v>
      </c>
      <c r="X27" s="282"/>
    </row>
    <row r="28" spans="1:24" s="91" customFormat="1" ht="16.5" customHeight="1" x14ac:dyDescent="0.3">
      <c r="A28" s="162"/>
      <c r="B28" s="451" t="s">
        <v>612</v>
      </c>
      <c r="C28" s="451"/>
      <c r="D28" s="451"/>
      <c r="E28" s="451"/>
      <c r="F28" s="252" t="s">
        <v>185</v>
      </c>
      <c r="G28" s="252" t="s">
        <v>186</v>
      </c>
      <c r="H28" s="179" t="s">
        <v>14</v>
      </c>
      <c r="I28" s="254">
        <f>I29</f>
        <v>11561.78</v>
      </c>
      <c r="J28" s="179" t="s">
        <v>14</v>
      </c>
      <c r="K28" s="179">
        <f>K29</f>
        <v>0</v>
      </c>
      <c r="L28" s="179" t="s">
        <v>14</v>
      </c>
      <c r="M28" s="179">
        <f>M29</f>
        <v>0</v>
      </c>
      <c r="N28" s="179" t="s">
        <v>14</v>
      </c>
      <c r="O28" s="441" t="s">
        <v>181</v>
      </c>
      <c r="P28" s="441"/>
      <c r="Q28" s="251"/>
      <c r="R28" s="367">
        <v>187938.08999999997</v>
      </c>
      <c r="S28" s="55" t="s">
        <v>557</v>
      </c>
      <c r="T28" s="55">
        <v>350000</v>
      </c>
      <c r="U28" s="55">
        <v>37210075.640000001</v>
      </c>
      <c r="V28" s="55">
        <f>T28+U28</f>
        <v>37560075.640000001</v>
      </c>
      <c r="W28" s="55">
        <f>H27-V28</f>
        <v>0</v>
      </c>
      <c r="X28" s="116"/>
    </row>
    <row r="29" spans="1:24" s="91" customFormat="1" ht="43.5" customHeight="1" x14ac:dyDescent="0.3">
      <c r="A29" s="162"/>
      <c r="B29" s="451" t="s">
        <v>397</v>
      </c>
      <c r="C29" s="451"/>
      <c r="D29" s="451"/>
      <c r="E29" s="451"/>
      <c r="F29" s="252" t="s">
        <v>187</v>
      </c>
      <c r="G29" s="252" t="s">
        <v>186</v>
      </c>
      <c r="H29" s="179" t="s">
        <v>14</v>
      </c>
      <c r="I29" s="253">
        <v>11561.78</v>
      </c>
      <c r="J29" s="179" t="s">
        <v>14</v>
      </c>
      <c r="K29" s="253">
        <v>0</v>
      </c>
      <c r="L29" s="179" t="s">
        <v>14</v>
      </c>
      <c r="M29" s="253">
        <v>0</v>
      </c>
      <c r="N29" s="179" t="s">
        <v>14</v>
      </c>
      <c r="O29" s="441" t="s">
        <v>181</v>
      </c>
      <c r="P29" s="441"/>
      <c r="Q29" s="251"/>
      <c r="R29" s="367">
        <f>R27-R28</f>
        <v>0</v>
      </c>
      <c r="S29" s="116" t="s">
        <v>558</v>
      </c>
      <c r="T29" s="55">
        <f>T27-T28</f>
        <v>0</v>
      </c>
      <c r="U29" s="55">
        <f>U27-U28</f>
        <v>0</v>
      </c>
      <c r="V29" s="55">
        <f>T29+U29</f>
        <v>0</v>
      </c>
      <c r="W29" s="55">
        <f>W27-W28</f>
        <v>0</v>
      </c>
      <c r="X29" s="55">
        <f>W28+W29</f>
        <v>0</v>
      </c>
    </row>
    <row r="30" spans="1:24" s="91" customFormat="1" ht="27" customHeight="1" x14ac:dyDescent="0.3">
      <c r="A30" s="162"/>
      <c r="B30" s="451" t="s">
        <v>188</v>
      </c>
      <c r="C30" s="451"/>
      <c r="D30" s="451"/>
      <c r="E30" s="451"/>
      <c r="F30" s="252" t="s">
        <v>189</v>
      </c>
      <c r="G30" s="252" t="s">
        <v>186</v>
      </c>
      <c r="H30" s="179" t="s">
        <v>14</v>
      </c>
      <c r="I30" s="254"/>
      <c r="J30" s="179" t="s">
        <v>14</v>
      </c>
      <c r="K30" s="254"/>
      <c r="L30" s="179" t="s">
        <v>14</v>
      </c>
      <c r="M30" s="254"/>
      <c r="N30" s="179" t="s">
        <v>14</v>
      </c>
      <c r="O30" s="441" t="s">
        <v>181</v>
      </c>
      <c r="P30" s="441"/>
      <c r="Q30" s="251"/>
      <c r="R30" s="162"/>
      <c r="S30" s="162"/>
    </row>
    <row r="31" spans="1:24" s="91" customFormat="1" ht="27" customHeight="1" x14ac:dyDescent="0.3">
      <c r="A31" s="162"/>
      <c r="B31" s="451" t="s">
        <v>190</v>
      </c>
      <c r="C31" s="451"/>
      <c r="D31" s="451"/>
      <c r="E31" s="451"/>
      <c r="F31" s="252" t="s">
        <v>191</v>
      </c>
      <c r="G31" s="252" t="s">
        <v>186</v>
      </c>
      <c r="H31" s="179" t="s">
        <v>14</v>
      </c>
      <c r="I31" s="254"/>
      <c r="J31" s="179" t="s">
        <v>14</v>
      </c>
      <c r="K31" s="254"/>
      <c r="L31" s="179" t="s">
        <v>14</v>
      </c>
      <c r="M31" s="254"/>
      <c r="N31" s="179" t="s">
        <v>14</v>
      </c>
      <c r="O31" s="441" t="s">
        <v>181</v>
      </c>
      <c r="P31" s="441"/>
      <c r="Q31" s="251"/>
      <c r="R31" s="162"/>
      <c r="S31" s="162"/>
    </row>
    <row r="32" spans="1:24" s="91" customFormat="1" ht="25.5" customHeight="1" x14ac:dyDescent="0.3">
      <c r="A32" s="162"/>
      <c r="B32" s="451" t="s">
        <v>192</v>
      </c>
      <c r="C32" s="451"/>
      <c r="D32" s="451"/>
      <c r="E32" s="451"/>
      <c r="F32" s="252" t="s">
        <v>193</v>
      </c>
      <c r="G32" s="252" t="s">
        <v>194</v>
      </c>
      <c r="H32" s="257">
        <f>H33</f>
        <v>37210075.640000001</v>
      </c>
      <c r="I32" s="179">
        <f>I37+I35+I36</f>
        <v>158202.03999999998</v>
      </c>
      <c r="J32" s="179">
        <f>J33</f>
        <v>37103258.420000002</v>
      </c>
      <c r="K32" s="179">
        <f>K37+K35+K36</f>
        <v>63256</v>
      </c>
      <c r="L32" s="179">
        <f>L33</f>
        <v>37152306.109999999</v>
      </c>
      <c r="M32" s="179">
        <f>M37+M35+M36</f>
        <v>63256</v>
      </c>
      <c r="N32" s="179" t="s">
        <v>181</v>
      </c>
      <c r="O32" s="441" t="s">
        <v>181</v>
      </c>
      <c r="P32" s="441"/>
      <c r="Q32" s="251"/>
      <c r="R32" s="162"/>
      <c r="S32" s="162"/>
    </row>
    <row r="33" spans="1:19" s="91" customFormat="1" ht="27" customHeight="1" x14ac:dyDescent="0.3">
      <c r="A33" s="162"/>
      <c r="B33" s="451" t="s">
        <v>132</v>
      </c>
      <c r="C33" s="451"/>
      <c r="D33" s="451"/>
      <c r="E33" s="451"/>
      <c r="F33" s="252" t="s">
        <v>195</v>
      </c>
      <c r="G33" s="252" t="s">
        <v>194</v>
      </c>
      <c r="H33" s="253">
        <f>'раздел 3 доходы'!I69</f>
        <v>37210075.640000001</v>
      </c>
      <c r="I33" s="179" t="s">
        <v>14</v>
      </c>
      <c r="J33" s="253">
        <f>'раздел 3 доходы'!J69</f>
        <v>37103258.420000002</v>
      </c>
      <c r="K33" s="179" t="s">
        <v>14</v>
      </c>
      <c r="L33" s="253">
        <f>'раздел 3 доходы'!K69</f>
        <v>37152306.109999999</v>
      </c>
      <c r="M33" s="179" t="s">
        <v>14</v>
      </c>
      <c r="N33" s="179" t="s">
        <v>181</v>
      </c>
      <c r="O33" s="441" t="s">
        <v>607</v>
      </c>
      <c r="P33" s="441"/>
      <c r="Q33" s="251"/>
      <c r="R33" s="162"/>
      <c r="S33" s="162"/>
    </row>
    <row r="34" spans="1:19" s="91" customFormat="1" ht="27.75" customHeight="1" x14ac:dyDescent="0.3">
      <c r="A34" s="162"/>
      <c r="B34" s="451" t="s">
        <v>196</v>
      </c>
      <c r="C34" s="451"/>
      <c r="D34" s="451"/>
      <c r="E34" s="451"/>
      <c r="F34" s="252" t="s">
        <v>197</v>
      </c>
      <c r="G34" s="252" t="s">
        <v>194</v>
      </c>
      <c r="H34" s="179" t="s">
        <v>14</v>
      </c>
      <c r="I34" s="254"/>
      <c r="J34" s="179" t="s">
        <v>14</v>
      </c>
      <c r="K34" s="254"/>
      <c r="L34" s="179" t="s">
        <v>14</v>
      </c>
      <c r="M34" s="254"/>
      <c r="N34" s="179" t="s">
        <v>14</v>
      </c>
      <c r="O34" s="441" t="s">
        <v>181</v>
      </c>
      <c r="P34" s="441"/>
      <c r="Q34" s="251"/>
      <c r="R34" s="162"/>
      <c r="S34" s="162"/>
    </row>
    <row r="35" spans="1:19" s="91" customFormat="1" ht="50.25" customHeight="1" x14ac:dyDescent="0.3">
      <c r="A35" s="162"/>
      <c r="B35" s="451" t="s">
        <v>198</v>
      </c>
      <c r="C35" s="451"/>
      <c r="D35" s="451"/>
      <c r="E35" s="451"/>
      <c r="F35" s="252" t="s">
        <v>199</v>
      </c>
      <c r="G35" s="252" t="s">
        <v>194</v>
      </c>
      <c r="H35" s="179" t="s">
        <v>14</v>
      </c>
      <c r="I35" s="253">
        <v>63256</v>
      </c>
      <c r="J35" s="179" t="s">
        <v>14</v>
      </c>
      <c r="K35" s="253">
        <v>63256</v>
      </c>
      <c r="L35" s="179" t="s">
        <v>14</v>
      </c>
      <c r="M35" s="253">
        <v>63256</v>
      </c>
      <c r="N35" s="179" t="s">
        <v>14</v>
      </c>
      <c r="O35" s="441" t="s">
        <v>181</v>
      </c>
      <c r="P35" s="441"/>
      <c r="Q35" s="251"/>
      <c r="R35" s="162"/>
      <c r="S35" s="162"/>
    </row>
    <row r="36" spans="1:19" s="91" customFormat="1" ht="38.25" customHeight="1" x14ac:dyDescent="0.3">
      <c r="A36" s="162"/>
      <c r="B36" s="451" t="s">
        <v>200</v>
      </c>
      <c r="C36" s="451"/>
      <c r="D36" s="451"/>
      <c r="E36" s="451"/>
      <c r="F36" s="252" t="s">
        <v>201</v>
      </c>
      <c r="G36" s="252" t="s">
        <v>194</v>
      </c>
      <c r="H36" s="179" t="s">
        <v>14</v>
      </c>
      <c r="I36" s="253">
        <v>0</v>
      </c>
      <c r="J36" s="179" t="s">
        <v>14</v>
      </c>
      <c r="K36" s="253">
        <v>0</v>
      </c>
      <c r="L36" s="179" t="s">
        <v>14</v>
      </c>
      <c r="M36" s="253">
        <v>0</v>
      </c>
      <c r="N36" s="179" t="s">
        <v>14</v>
      </c>
      <c r="O36" s="441" t="s">
        <v>181</v>
      </c>
      <c r="P36" s="441"/>
      <c r="Q36" s="251"/>
      <c r="R36" s="162"/>
      <c r="S36" s="162"/>
    </row>
    <row r="37" spans="1:19" s="91" customFormat="1" ht="18.75" x14ac:dyDescent="0.3">
      <c r="A37" s="162"/>
      <c r="B37" s="455" t="s">
        <v>202</v>
      </c>
      <c r="C37" s="455"/>
      <c r="D37" s="455"/>
      <c r="E37" s="455"/>
      <c r="F37" s="252" t="s">
        <v>203</v>
      </c>
      <c r="G37" s="252" t="s">
        <v>194</v>
      </c>
      <c r="H37" s="179" t="s">
        <v>14</v>
      </c>
      <c r="I37" s="253">
        <v>94946.04</v>
      </c>
      <c r="J37" s="179" t="s">
        <v>14</v>
      </c>
      <c r="K37" s="253">
        <v>0</v>
      </c>
      <c r="L37" s="179" t="s">
        <v>14</v>
      </c>
      <c r="M37" s="253">
        <v>0</v>
      </c>
      <c r="N37" s="179" t="s">
        <v>181</v>
      </c>
      <c r="O37" s="441" t="s">
        <v>181</v>
      </c>
      <c r="P37" s="441"/>
      <c r="Q37" s="251"/>
      <c r="R37" s="162"/>
      <c r="S37" s="162"/>
    </row>
    <row r="38" spans="1:19" s="91" customFormat="1" ht="27.75" customHeight="1" x14ac:dyDescent="0.3">
      <c r="A38" s="162"/>
      <c r="B38" s="451" t="s">
        <v>204</v>
      </c>
      <c r="C38" s="451"/>
      <c r="D38" s="451"/>
      <c r="E38" s="451"/>
      <c r="F38" s="252" t="s">
        <v>205</v>
      </c>
      <c r="G38" s="252" t="s">
        <v>206</v>
      </c>
      <c r="H38" s="179" t="s">
        <v>14</v>
      </c>
      <c r="I38" s="253">
        <v>8424.27</v>
      </c>
      <c r="J38" s="179" t="s">
        <v>14</v>
      </c>
      <c r="K38" s="253">
        <v>0</v>
      </c>
      <c r="L38" s="179" t="s">
        <v>14</v>
      </c>
      <c r="M38" s="253">
        <v>0</v>
      </c>
      <c r="N38" s="179" t="s">
        <v>14</v>
      </c>
      <c r="O38" s="441" t="s">
        <v>181</v>
      </c>
      <c r="P38" s="441"/>
      <c r="Q38" s="251"/>
      <c r="R38" s="162"/>
      <c r="S38" s="162"/>
    </row>
    <row r="39" spans="1:19" s="91" customFormat="1" ht="16.5" customHeight="1" x14ac:dyDescent="0.3">
      <c r="A39" s="162"/>
      <c r="B39" s="455" t="s">
        <v>61</v>
      </c>
      <c r="C39" s="455"/>
      <c r="D39" s="455"/>
      <c r="E39" s="455"/>
      <c r="F39" s="252" t="s">
        <v>207</v>
      </c>
      <c r="G39" s="252" t="s">
        <v>206</v>
      </c>
      <c r="H39" s="179">
        <v>0</v>
      </c>
      <c r="I39" s="254"/>
      <c r="J39" s="179">
        <v>0</v>
      </c>
      <c r="K39" s="179"/>
      <c r="L39" s="179"/>
      <c r="M39" s="179"/>
      <c r="N39" s="179" t="s">
        <v>181</v>
      </c>
      <c r="O39" s="441" t="s">
        <v>181</v>
      </c>
      <c r="P39" s="441"/>
      <c r="Q39" s="251"/>
      <c r="R39" s="162"/>
      <c r="S39" s="162"/>
    </row>
    <row r="40" spans="1:19" s="91" customFormat="1" ht="16.5" customHeight="1" x14ac:dyDescent="0.3">
      <c r="A40" s="162"/>
      <c r="B40" s="462" t="s">
        <v>208</v>
      </c>
      <c r="C40" s="462"/>
      <c r="D40" s="462"/>
      <c r="E40" s="462"/>
      <c r="F40" s="258" t="s">
        <v>209</v>
      </c>
      <c r="G40" s="258" t="s">
        <v>210</v>
      </c>
      <c r="H40" s="179" t="s">
        <v>14</v>
      </c>
      <c r="I40" s="179">
        <f>SUM(I41:I42)</f>
        <v>0</v>
      </c>
      <c r="J40" s="179" t="s">
        <v>14</v>
      </c>
      <c r="K40" s="179">
        <f>SUM(K41:K42)</f>
        <v>0</v>
      </c>
      <c r="L40" s="179" t="s">
        <v>14</v>
      </c>
      <c r="M40" s="179"/>
      <c r="N40" s="179" t="s">
        <v>14</v>
      </c>
      <c r="O40" s="441" t="s">
        <v>181</v>
      </c>
      <c r="P40" s="441"/>
      <c r="Q40" s="251"/>
      <c r="R40" s="162"/>
      <c r="S40" s="162"/>
    </row>
    <row r="41" spans="1:19" s="91" customFormat="1" ht="16.5" customHeight="1" x14ac:dyDescent="0.3">
      <c r="A41" s="162"/>
      <c r="B41" s="462" t="s">
        <v>490</v>
      </c>
      <c r="C41" s="462"/>
      <c r="D41" s="462"/>
      <c r="E41" s="462"/>
      <c r="F41" s="258">
        <v>1410</v>
      </c>
      <c r="G41" s="258">
        <v>150</v>
      </c>
      <c r="H41" s="253">
        <f>'раздел 3 доходы'!C134</f>
        <v>350000</v>
      </c>
      <c r="I41" s="257" t="s">
        <v>14</v>
      </c>
      <c r="J41" s="253">
        <f>'раздел 3 доходы'!D134</f>
        <v>0</v>
      </c>
      <c r="K41" s="179"/>
      <c r="L41" s="253">
        <f>'раздел 3 доходы'!E137</f>
        <v>0</v>
      </c>
      <c r="M41" s="179"/>
      <c r="N41" s="179" t="s">
        <v>181</v>
      </c>
      <c r="O41" s="441" t="s">
        <v>181</v>
      </c>
      <c r="P41" s="441"/>
      <c r="Q41" s="251"/>
      <c r="R41" s="162"/>
      <c r="S41" s="162"/>
    </row>
    <row r="42" spans="1:19" s="103" customFormat="1" ht="16.5" customHeight="1" x14ac:dyDescent="0.3">
      <c r="A42" s="162"/>
      <c r="B42" s="462" t="s">
        <v>214</v>
      </c>
      <c r="C42" s="462"/>
      <c r="D42" s="462"/>
      <c r="E42" s="462"/>
      <c r="F42" s="258">
        <v>1420</v>
      </c>
      <c r="G42" s="258">
        <v>150</v>
      </c>
      <c r="H42" s="179"/>
      <c r="I42" s="257" t="s">
        <v>14</v>
      </c>
      <c r="J42" s="179"/>
      <c r="K42" s="179"/>
      <c r="L42" s="179"/>
      <c r="M42" s="179"/>
      <c r="N42" s="179"/>
      <c r="O42" s="441" t="s">
        <v>181</v>
      </c>
      <c r="P42" s="441"/>
      <c r="Q42" s="251"/>
      <c r="R42" s="162"/>
      <c r="S42" s="162"/>
    </row>
    <row r="43" spans="1:19" s="91" customFormat="1" ht="16.5" customHeight="1" x14ac:dyDescent="0.3">
      <c r="A43" s="162"/>
      <c r="B43" s="462" t="s">
        <v>211</v>
      </c>
      <c r="C43" s="462"/>
      <c r="D43" s="462"/>
      <c r="E43" s="462"/>
      <c r="F43" s="258" t="s">
        <v>212</v>
      </c>
      <c r="G43" s="258">
        <v>150</v>
      </c>
      <c r="H43" s="179"/>
      <c r="I43" s="259">
        <f t="shared" ref="I43" si="3">I45+I46</f>
        <v>9750</v>
      </c>
      <c r="J43" s="179"/>
      <c r="K43" s="259">
        <f>K45+K46</f>
        <v>0</v>
      </c>
      <c r="L43" s="179"/>
      <c r="M43" s="179">
        <f>K43</f>
        <v>0</v>
      </c>
      <c r="N43" s="179" t="s">
        <v>181</v>
      </c>
      <c r="O43" s="441" t="s">
        <v>181</v>
      </c>
      <c r="P43" s="441"/>
      <c r="Q43" s="251"/>
      <c r="R43" s="162"/>
      <c r="S43" s="162"/>
    </row>
    <row r="44" spans="1:19" s="91" customFormat="1" ht="16.5" customHeight="1" x14ac:dyDescent="0.3">
      <c r="A44" s="162"/>
      <c r="B44" s="452" t="s">
        <v>438</v>
      </c>
      <c r="C44" s="452"/>
      <c r="D44" s="452"/>
      <c r="E44" s="452"/>
      <c r="F44" s="258"/>
      <c r="G44" s="258"/>
      <c r="H44" s="179"/>
      <c r="I44" s="179"/>
      <c r="J44" s="179"/>
      <c r="K44" s="179"/>
      <c r="L44" s="179"/>
      <c r="M44" s="179" t="s">
        <v>14</v>
      </c>
      <c r="N44" s="179" t="s">
        <v>181</v>
      </c>
      <c r="O44" s="441" t="s">
        <v>607</v>
      </c>
      <c r="P44" s="441"/>
      <c r="Q44" s="251"/>
      <c r="R44" s="162"/>
      <c r="S44" s="162"/>
    </row>
    <row r="45" spans="1:19" s="103" customFormat="1" ht="16.5" customHeight="1" x14ac:dyDescent="0.3">
      <c r="A45" s="162"/>
      <c r="B45" s="459" t="s">
        <v>740</v>
      </c>
      <c r="C45" s="460"/>
      <c r="D45" s="460"/>
      <c r="E45" s="461"/>
      <c r="F45" s="258" t="s">
        <v>213</v>
      </c>
      <c r="G45" s="258">
        <v>150</v>
      </c>
      <c r="H45" s="179"/>
      <c r="I45" s="253">
        <v>9750</v>
      </c>
      <c r="J45" s="179"/>
      <c r="K45" s="179"/>
      <c r="L45" s="179"/>
      <c r="M45" s="179"/>
      <c r="N45" s="179"/>
      <c r="O45" s="441" t="s">
        <v>181</v>
      </c>
      <c r="P45" s="441"/>
      <c r="Q45" s="251"/>
      <c r="R45" s="162"/>
      <c r="S45" s="162"/>
    </row>
    <row r="46" spans="1:19" s="103" customFormat="1" ht="16.5" customHeight="1" x14ac:dyDescent="0.3">
      <c r="A46" s="162"/>
      <c r="B46" s="467"/>
      <c r="C46" s="468"/>
      <c r="D46" s="468"/>
      <c r="E46" s="469"/>
      <c r="F46" s="258">
        <v>1520</v>
      </c>
      <c r="G46" s="258">
        <v>150</v>
      </c>
      <c r="H46" s="179"/>
      <c r="I46" s="179"/>
      <c r="J46" s="179"/>
      <c r="K46" s="179"/>
      <c r="L46" s="179"/>
      <c r="M46" s="179"/>
      <c r="N46" s="179"/>
      <c r="O46" s="441" t="s">
        <v>181</v>
      </c>
      <c r="P46" s="441"/>
      <c r="Q46" s="251"/>
      <c r="R46" s="162"/>
      <c r="S46" s="162"/>
    </row>
    <row r="47" spans="1:19" s="91" customFormat="1" ht="16.5" customHeight="1" x14ac:dyDescent="0.3">
      <c r="A47" s="162"/>
      <c r="B47" s="462" t="s">
        <v>215</v>
      </c>
      <c r="C47" s="462"/>
      <c r="D47" s="462"/>
      <c r="E47" s="462"/>
      <c r="F47" s="258" t="s">
        <v>216</v>
      </c>
      <c r="G47" s="258"/>
      <c r="H47" s="179"/>
      <c r="I47" s="179">
        <f t="shared" ref="I47" si="4">I49</f>
        <v>0</v>
      </c>
      <c r="J47" s="179"/>
      <c r="K47" s="179">
        <f>K49</f>
        <v>0</v>
      </c>
      <c r="L47" s="179"/>
      <c r="M47" s="179">
        <f>K47</f>
        <v>0</v>
      </c>
      <c r="N47" s="179" t="s">
        <v>181</v>
      </c>
      <c r="O47" s="441" t="s">
        <v>181</v>
      </c>
      <c r="P47" s="441"/>
      <c r="Q47" s="251"/>
      <c r="R47" s="162"/>
      <c r="S47" s="162"/>
    </row>
    <row r="48" spans="1:19" s="91" customFormat="1" ht="16.5" customHeight="1" x14ac:dyDescent="0.3">
      <c r="A48" s="162"/>
      <c r="B48" s="462" t="s">
        <v>61</v>
      </c>
      <c r="C48" s="462"/>
      <c r="D48" s="462"/>
      <c r="E48" s="462"/>
      <c r="F48" s="258"/>
      <c r="G48" s="258"/>
      <c r="H48" s="179"/>
      <c r="I48" s="179"/>
      <c r="J48" s="179"/>
      <c r="K48" s="179"/>
      <c r="L48" s="179"/>
      <c r="M48" s="179"/>
      <c r="N48" s="179" t="s">
        <v>181</v>
      </c>
      <c r="O48" s="441" t="s">
        <v>181</v>
      </c>
      <c r="P48" s="441"/>
      <c r="Q48" s="251"/>
      <c r="R48" s="162"/>
      <c r="S48" s="162"/>
    </row>
    <row r="49" spans="1:24" s="103" customFormat="1" ht="16.5" customHeight="1" x14ac:dyDescent="0.3">
      <c r="A49" s="162"/>
      <c r="B49" s="470"/>
      <c r="C49" s="471"/>
      <c r="D49" s="471"/>
      <c r="E49" s="472"/>
      <c r="F49" s="258"/>
      <c r="G49" s="258"/>
      <c r="H49" s="179"/>
      <c r="I49" s="179"/>
      <c r="J49" s="179"/>
      <c r="K49" s="179"/>
      <c r="L49" s="179"/>
      <c r="M49" s="179"/>
      <c r="N49" s="179"/>
      <c r="O49" s="441" t="s">
        <v>181</v>
      </c>
      <c r="P49" s="441"/>
      <c r="Q49" s="251"/>
      <c r="R49" s="162"/>
      <c r="S49" s="162"/>
    </row>
    <row r="50" spans="1:24" s="91" customFormat="1" ht="16.5" customHeight="1" x14ac:dyDescent="0.3">
      <c r="A50" s="162"/>
      <c r="B50" s="455" t="s">
        <v>217</v>
      </c>
      <c r="C50" s="455"/>
      <c r="D50" s="455"/>
      <c r="E50" s="455"/>
      <c r="F50" s="252" t="s">
        <v>218</v>
      </c>
      <c r="G50" s="252" t="s">
        <v>14</v>
      </c>
      <c r="H50" s="179"/>
      <c r="I50" s="254"/>
      <c r="J50" s="179"/>
      <c r="K50" s="179"/>
      <c r="L50" s="179"/>
      <c r="M50" s="179"/>
      <c r="N50" s="179" t="s">
        <v>181</v>
      </c>
      <c r="O50" s="441" t="s">
        <v>181</v>
      </c>
      <c r="P50" s="441"/>
      <c r="Q50" s="251"/>
      <c r="R50" s="162"/>
      <c r="S50" s="162"/>
    </row>
    <row r="51" spans="1:24" s="91" customFormat="1" ht="24" customHeight="1" x14ac:dyDescent="0.3">
      <c r="A51" s="162"/>
      <c r="B51" s="451" t="s">
        <v>611</v>
      </c>
      <c r="C51" s="451"/>
      <c r="D51" s="451"/>
      <c r="E51" s="451"/>
      <c r="F51" s="252" t="s">
        <v>219</v>
      </c>
      <c r="G51" s="252" t="s">
        <v>220</v>
      </c>
      <c r="H51" s="179"/>
      <c r="I51" s="254"/>
      <c r="J51" s="179"/>
      <c r="K51" s="179"/>
      <c r="L51" s="179"/>
      <c r="M51" s="179"/>
      <c r="N51" s="179" t="s">
        <v>14</v>
      </c>
      <c r="O51" s="441" t="s">
        <v>181</v>
      </c>
      <c r="P51" s="441"/>
      <c r="Q51" s="251"/>
      <c r="R51" s="15"/>
      <c r="S51" s="162"/>
    </row>
    <row r="52" spans="1:24" s="91" customFormat="1" ht="18.75" x14ac:dyDescent="0.3">
      <c r="A52" s="162"/>
      <c r="B52" s="466" t="s">
        <v>221</v>
      </c>
      <c r="C52" s="466"/>
      <c r="D52" s="466"/>
      <c r="E52" s="466"/>
      <c r="F52" s="314" t="s">
        <v>222</v>
      </c>
      <c r="G52" s="314" t="s">
        <v>14</v>
      </c>
      <c r="H52" s="315">
        <f>H54+H56+H58+H70+H80+H61</f>
        <v>38160259.469999999</v>
      </c>
      <c r="I52" s="315">
        <f t="shared" ref="I52" si="5">I53+I80+I61+I79+I67</f>
        <v>209548.84999999998</v>
      </c>
      <c r="J52" s="315">
        <f>J54+J56+J58+J70+J80+J61</f>
        <v>37103258.420000002</v>
      </c>
      <c r="K52" s="315">
        <f>K53+K61+K67+K71+K78+K80+K95+K56</f>
        <v>63256</v>
      </c>
      <c r="L52" s="315">
        <f>L54+L56+L58+L70+L80+L61</f>
        <v>37152306.109999999</v>
      </c>
      <c r="M52" s="315">
        <f>M54+M56+M58+M70+M80+M61</f>
        <v>63256</v>
      </c>
      <c r="N52" s="256"/>
      <c r="O52" s="441" t="s">
        <v>181</v>
      </c>
      <c r="P52" s="441"/>
      <c r="Q52" s="251"/>
      <c r="R52" s="15"/>
      <c r="S52" s="162"/>
    </row>
    <row r="53" spans="1:24" s="91" customFormat="1" ht="22.5" customHeight="1" x14ac:dyDescent="0.3">
      <c r="A53" s="162"/>
      <c r="B53" s="451" t="s">
        <v>223</v>
      </c>
      <c r="C53" s="451"/>
      <c r="D53" s="451"/>
      <c r="E53" s="451"/>
      <c r="F53" s="252" t="s">
        <v>224</v>
      </c>
      <c r="G53" s="252" t="s">
        <v>14</v>
      </c>
      <c r="H53" s="179">
        <f>H54+H56+H58</f>
        <v>28554886.670000002</v>
      </c>
      <c r="I53" s="257">
        <f>I54+I56+I58</f>
        <v>53879.37</v>
      </c>
      <c r="J53" s="179">
        <f t="shared" ref="J53:M53" si="6">J54+J58</f>
        <v>28815613.789999999</v>
      </c>
      <c r="K53" s="257">
        <f>K54+K56+K58</f>
        <v>40949.279999999999</v>
      </c>
      <c r="L53" s="179">
        <f t="shared" si="6"/>
        <v>28864313.789999999</v>
      </c>
      <c r="M53" s="179">
        <f t="shared" si="6"/>
        <v>40949.279999999999</v>
      </c>
      <c r="N53" s="179" t="s">
        <v>14</v>
      </c>
      <c r="O53" s="441" t="s">
        <v>181</v>
      </c>
      <c r="P53" s="441"/>
      <c r="Q53" s="251"/>
      <c r="R53" s="15"/>
      <c r="S53" s="162"/>
    </row>
    <row r="54" spans="1:24" s="91" customFormat="1" ht="23.25" customHeight="1" x14ac:dyDescent="0.3">
      <c r="A54" s="162"/>
      <c r="B54" s="451" t="s">
        <v>225</v>
      </c>
      <c r="C54" s="451"/>
      <c r="D54" s="451"/>
      <c r="E54" s="451"/>
      <c r="F54" s="252" t="s">
        <v>226</v>
      </c>
      <c r="G54" s="252" t="s">
        <v>227</v>
      </c>
      <c r="H54" s="253">
        <v>21927336.48</v>
      </c>
      <c r="I54" s="253">
        <v>41382.22</v>
      </c>
      <c r="J54" s="253">
        <v>22131805.68</v>
      </c>
      <c r="K54" s="253">
        <v>31451.279999999999</v>
      </c>
      <c r="L54" s="253">
        <v>22169205.68</v>
      </c>
      <c r="M54" s="253">
        <v>31451.279999999999</v>
      </c>
      <c r="N54" s="179" t="s">
        <v>14</v>
      </c>
      <c r="O54" s="441" t="s">
        <v>181</v>
      </c>
      <c r="P54" s="441"/>
      <c r="Q54" s="251"/>
      <c r="R54" s="15"/>
      <c r="S54" s="14">
        <f>SUM('(211-213)_бюд:(211-213)_ауп'!L27)+SUM('(211-213)_бюд:(211-213)_ауп'!C100)</f>
        <v>21927336.479999997</v>
      </c>
      <c r="T54" s="14">
        <f>S54-H54</f>
        <v>0</v>
      </c>
      <c r="U54" s="14">
        <f>SUM('(211-213)_бюд:(211-213)_ауп'!L39)</f>
        <v>22131805.68</v>
      </c>
      <c r="V54" s="14">
        <f>U54-J54</f>
        <v>0</v>
      </c>
      <c r="W54" s="14">
        <f>SUM('(211-213)_бюд:(211-213)_ауп'!L51)</f>
        <v>22169205.68</v>
      </c>
      <c r="X54" s="14">
        <f>W54-L54</f>
        <v>0</v>
      </c>
    </row>
    <row r="55" spans="1:24" s="91" customFormat="1" ht="24" customHeight="1" x14ac:dyDescent="0.3">
      <c r="A55" s="162"/>
      <c r="B55" s="463" t="s">
        <v>476</v>
      </c>
      <c r="C55" s="464"/>
      <c r="D55" s="464"/>
      <c r="E55" s="465"/>
      <c r="F55" s="252"/>
      <c r="G55" s="252" t="s">
        <v>227</v>
      </c>
      <c r="H55" s="253">
        <v>28642.432000000001</v>
      </c>
      <c r="I55" s="254"/>
      <c r="J55" s="257">
        <f>H55</f>
        <v>28642.432000000001</v>
      </c>
      <c r="K55" s="254"/>
      <c r="L55" s="257">
        <f>H55</f>
        <v>28642.432000000001</v>
      </c>
      <c r="M55" s="254"/>
      <c r="N55" s="179" t="s">
        <v>14</v>
      </c>
      <c r="O55" s="441" t="s">
        <v>181</v>
      </c>
      <c r="P55" s="441"/>
      <c r="Q55" s="251"/>
      <c r="R55" s="162"/>
      <c r="S55" s="15"/>
      <c r="T55" s="15"/>
      <c r="U55" s="15"/>
      <c r="V55" s="15"/>
      <c r="W55" s="15"/>
      <c r="X55" s="15"/>
    </row>
    <row r="56" spans="1:24" s="91" customFormat="1" ht="28.5" customHeight="1" x14ac:dyDescent="0.3">
      <c r="A56" s="162"/>
      <c r="B56" s="451" t="s">
        <v>228</v>
      </c>
      <c r="C56" s="451"/>
      <c r="D56" s="451"/>
      <c r="E56" s="451"/>
      <c r="F56" s="252" t="s">
        <v>229</v>
      </c>
      <c r="G56" s="252" t="s">
        <v>230</v>
      </c>
      <c r="H56" s="253">
        <v>15415.8</v>
      </c>
      <c r="I56" s="254"/>
      <c r="J56" s="253">
        <f>'пособие по уходу за ребенком'!M8+командировки_пед!M10+командировки_ауп!M10</f>
        <v>0</v>
      </c>
      <c r="K56" s="254"/>
      <c r="L56" s="253">
        <f>'пособие по уходу за ребенком'!N8+командировки_пед!N10+командировки_ауп!N10</f>
        <v>0</v>
      </c>
      <c r="M56" s="254"/>
      <c r="N56" s="179" t="s">
        <v>14</v>
      </c>
      <c r="O56" s="441" t="s">
        <v>181</v>
      </c>
      <c r="P56" s="441"/>
      <c r="Q56" s="251"/>
      <c r="R56" s="15">
        <v>0</v>
      </c>
      <c r="S56" s="15">
        <f t="shared" ref="S56" si="7">H56-R56</f>
        <v>15415.8</v>
      </c>
      <c r="T56" s="15"/>
      <c r="U56" s="15"/>
      <c r="V56" s="15"/>
      <c r="W56" s="15"/>
      <c r="X56" s="15"/>
    </row>
    <row r="57" spans="1:24" s="91" customFormat="1" ht="28.5" customHeight="1" x14ac:dyDescent="0.3">
      <c r="A57" s="162"/>
      <c r="B57" s="451" t="s">
        <v>231</v>
      </c>
      <c r="C57" s="451"/>
      <c r="D57" s="451"/>
      <c r="E57" s="451"/>
      <c r="F57" s="252" t="s">
        <v>232</v>
      </c>
      <c r="G57" s="252" t="s">
        <v>233</v>
      </c>
      <c r="H57" s="179"/>
      <c r="I57" s="254"/>
      <c r="J57" s="257"/>
      <c r="K57" s="254"/>
      <c r="L57" s="257"/>
      <c r="M57" s="254"/>
      <c r="N57" s="179" t="s">
        <v>14</v>
      </c>
      <c r="O57" s="441" t="s">
        <v>181</v>
      </c>
      <c r="P57" s="441"/>
      <c r="Q57" s="251"/>
      <c r="R57" s="162"/>
      <c r="S57" s="15"/>
      <c r="T57" s="15"/>
      <c r="U57" s="15"/>
      <c r="V57" s="15"/>
      <c r="W57" s="15"/>
      <c r="X57" s="15"/>
    </row>
    <row r="58" spans="1:24" s="91" customFormat="1" ht="36" customHeight="1" x14ac:dyDescent="0.3">
      <c r="A58" s="162"/>
      <c r="B58" s="451" t="s">
        <v>234</v>
      </c>
      <c r="C58" s="451"/>
      <c r="D58" s="451"/>
      <c r="E58" s="451"/>
      <c r="F58" s="252" t="s">
        <v>235</v>
      </c>
      <c r="G58" s="252" t="s">
        <v>236</v>
      </c>
      <c r="H58" s="179">
        <f>H59+H60</f>
        <v>6612134.3899999997</v>
      </c>
      <c r="I58" s="254">
        <f t="shared" ref="I58" si="8">I59+I60</f>
        <v>12497.15</v>
      </c>
      <c r="J58" s="257">
        <f>J59+J60</f>
        <v>6683808.1100000003</v>
      </c>
      <c r="K58" s="254">
        <f t="shared" ref="K58" si="9">K59+K60</f>
        <v>9498</v>
      </c>
      <c r="L58" s="257">
        <f>L59+L60</f>
        <v>6695108.1100000003</v>
      </c>
      <c r="M58" s="254">
        <f t="shared" ref="M58" si="10">M59+M60</f>
        <v>9498</v>
      </c>
      <c r="N58" s="179" t="s">
        <v>14</v>
      </c>
      <c r="O58" s="441" t="s">
        <v>181</v>
      </c>
      <c r="P58" s="441"/>
      <c r="Q58" s="251"/>
      <c r="R58" s="162"/>
      <c r="S58" s="15"/>
      <c r="T58" s="15"/>
      <c r="U58" s="15"/>
      <c r="V58" s="15"/>
      <c r="W58" s="15"/>
      <c r="X58" s="15"/>
    </row>
    <row r="59" spans="1:24" s="91" customFormat="1" ht="24.75" customHeight="1" x14ac:dyDescent="0.3">
      <c r="A59" s="162"/>
      <c r="B59" s="451" t="s">
        <v>237</v>
      </c>
      <c r="C59" s="451"/>
      <c r="D59" s="451"/>
      <c r="E59" s="451"/>
      <c r="F59" s="252" t="s">
        <v>238</v>
      </c>
      <c r="G59" s="252" t="s">
        <v>236</v>
      </c>
      <c r="H59" s="253">
        <v>6612134.3899999997</v>
      </c>
      <c r="I59" s="253">
        <v>12497.15</v>
      </c>
      <c r="J59" s="253">
        <v>6683808.1100000003</v>
      </c>
      <c r="K59" s="253">
        <v>9498</v>
      </c>
      <c r="L59" s="253">
        <v>6695108.1100000003</v>
      </c>
      <c r="M59" s="253">
        <v>9498</v>
      </c>
      <c r="N59" s="179" t="s">
        <v>14</v>
      </c>
      <c r="O59" s="441" t="s">
        <v>181</v>
      </c>
      <c r="P59" s="441"/>
      <c r="Q59" s="251"/>
      <c r="R59" s="15"/>
      <c r="S59" s="14">
        <f>SUM('(211-213)_бюд:(211-213)_ауп'!F88)</f>
        <v>6612134.3899999997</v>
      </c>
      <c r="T59" s="14">
        <f>S59-H59</f>
        <v>0</v>
      </c>
      <c r="U59" s="14">
        <f>SUM('(211-213)_бюд:(211-213)_ауп'!G88)</f>
        <v>6683808.1100000003</v>
      </c>
      <c r="V59" s="14">
        <f>U59-J59</f>
        <v>0</v>
      </c>
      <c r="W59" s="14">
        <f>SUM('(211-213)_бюд:(211-213)_ауп'!H88)</f>
        <v>6695108.1100000003</v>
      </c>
      <c r="X59" s="14">
        <f>W59-L59</f>
        <v>0</v>
      </c>
    </row>
    <row r="60" spans="1:24" s="91" customFormat="1" ht="12.75" customHeight="1" x14ac:dyDescent="0.3">
      <c r="A60" s="162"/>
      <c r="B60" s="451" t="s">
        <v>239</v>
      </c>
      <c r="C60" s="451"/>
      <c r="D60" s="451"/>
      <c r="E60" s="451"/>
      <c r="F60" s="252" t="s">
        <v>240</v>
      </c>
      <c r="G60" s="252" t="s">
        <v>236</v>
      </c>
      <c r="H60" s="179"/>
      <c r="I60" s="254"/>
      <c r="J60" s="179"/>
      <c r="K60" s="179"/>
      <c r="L60" s="179"/>
      <c r="M60" s="179"/>
      <c r="N60" s="179" t="s">
        <v>14</v>
      </c>
      <c r="O60" s="441" t="s">
        <v>181</v>
      </c>
      <c r="P60" s="441"/>
      <c r="Q60" s="251"/>
      <c r="R60" s="162"/>
      <c r="S60" s="162"/>
    </row>
    <row r="61" spans="1:24" s="91" customFormat="1" ht="15" customHeight="1" x14ac:dyDescent="0.3">
      <c r="A61" s="162"/>
      <c r="B61" s="451" t="s">
        <v>241</v>
      </c>
      <c r="C61" s="451"/>
      <c r="D61" s="451"/>
      <c r="E61" s="451"/>
      <c r="F61" s="252" t="s">
        <v>242</v>
      </c>
      <c r="G61" s="252" t="s">
        <v>243</v>
      </c>
      <c r="H61" s="257">
        <f>H62+H63+H64+H65+H66</f>
        <v>31250</v>
      </c>
      <c r="I61" s="257">
        <f t="shared" ref="I61" si="11">I63</f>
        <v>0</v>
      </c>
      <c r="J61" s="257">
        <f>J62+J63+J64+J65+J66</f>
        <v>26800</v>
      </c>
      <c r="K61" s="179"/>
      <c r="L61" s="179">
        <f>L62+L63+L64+L65+L66</f>
        <v>26800</v>
      </c>
      <c r="M61" s="179"/>
      <c r="N61" s="179" t="s">
        <v>14</v>
      </c>
      <c r="O61" s="441" t="s">
        <v>181</v>
      </c>
      <c r="P61" s="441"/>
      <c r="Q61" s="251"/>
      <c r="R61" s="162"/>
      <c r="S61" s="162"/>
    </row>
    <row r="62" spans="1:24" s="91" customFormat="1" ht="37.5" customHeight="1" x14ac:dyDescent="0.3">
      <c r="A62" s="162"/>
      <c r="B62" s="451" t="s">
        <v>244</v>
      </c>
      <c r="C62" s="451"/>
      <c r="D62" s="451"/>
      <c r="E62" s="451"/>
      <c r="F62" s="252" t="s">
        <v>245</v>
      </c>
      <c r="G62" s="252" t="s">
        <v>246</v>
      </c>
      <c r="H62" s="257"/>
      <c r="I62" s="257">
        <f t="shared" ref="I62" si="12">I63</f>
        <v>0</v>
      </c>
      <c r="J62" s="257"/>
      <c r="K62" s="179">
        <f>K63</f>
        <v>0</v>
      </c>
      <c r="L62" s="179"/>
      <c r="M62" s="179"/>
      <c r="N62" s="179" t="s">
        <v>14</v>
      </c>
      <c r="O62" s="441" t="s">
        <v>181</v>
      </c>
      <c r="P62" s="441"/>
      <c r="Q62" s="251"/>
      <c r="R62" s="162"/>
      <c r="S62" s="162"/>
    </row>
    <row r="63" spans="1:24" s="91" customFormat="1" ht="36" customHeight="1" x14ac:dyDescent="0.3">
      <c r="A63" s="162"/>
      <c r="B63" s="452" t="s">
        <v>247</v>
      </c>
      <c r="C63" s="452"/>
      <c r="D63" s="452"/>
      <c r="E63" s="452"/>
      <c r="F63" s="258" t="s">
        <v>248</v>
      </c>
      <c r="G63" s="252" t="s">
        <v>249</v>
      </c>
      <c r="H63" s="253">
        <f>'262'!I6+'(211-213)_бюд'!C99+'(211-213)_пед'!C99+'(211-213)_ауп'!C99</f>
        <v>31250</v>
      </c>
      <c r="I63" s="254"/>
      <c r="J63" s="253">
        <f>'262'!J6+'(211-213)_бюд'!D99+'(211-213)_пед'!D99+'(211-213)_ауп'!D99</f>
        <v>26800</v>
      </c>
      <c r="K63" s="179"/>
      <c r="L63" s="253">
        <f>'262'!K6+'(211-213)_бюд'!E99+'(211-213)_пед'!E99+'(211-213)_ауп'!E99</f>
        <v>26800</v>
      </c>
      <c r="M63" s="179"/>
      <c r="N63" s="179" t="s">
        <v>14</v>
      </c>
      <c r="O63" s="441" t="s">
        <v>181</v>
      </c>
      <c r="P63" s="441"/>
      <c r="Q63" s="251"/>
      <c r="R63" s="162"/>
      <c r="S63" s="162"/>
    </row>
    <row r="64" spans="1:24" s="91" customFormat="1" ht="27.75" customHeight="1" x14ac:dyDescent="0.3">
      <c r="A64" s="162"/>
      <c r="B64" s="452" t="s">
        <v>250</v>
      </c>
      <c r="C64" s="452"/>
      <c r="D64" s="452"/>
      <c r="E64" s="452"/>
      <c r="F64" s="258" t="s">
        <v>251</v>
      </c>
      <c r="G64" s="252" t="s">
        <v>252</v>
      </c>
      <c r="H64" s="179"/>
      <c r="I64" s="254"/>
      <c r="J64" s="179"/>
      <c r="K64" s="179"/>
      <c r="L64" s="179"/>
      <c r="M64" s="179"/>
      <c r="N64" s="179" t="s">
        <v>14</v>
      </c>
      <c r="O64" s="441" t="s">
        <v>181</v>
      </c>
      <c r="P64" s="441"/>
      <c r="Q64" s="251"/>
      <c r="R64" s="162"/>
      <c r="S64" s="162"/>
    </row>
    <row r="65" spans="1:21" s="91" customFormat="1" ht="36" customHeight="1" x14ac:dyDescent="0.3">
      <c r="A65" s="162"/>
      <c r="B65" s="452" t="s">
        <v>253</v>
      </c>
      <c r="C65" s="452"/>
      <c r="D65" s="452"/>
      <c r="E65" s="452"/>
      <c r="F65" s="258" t="s">
        <v>254</v>
      </c>
      <c r="G65" s="252" t="s">
        <v>255</v>
      </c>
      <c r="H65" s="179"/>
      <c r="I65" s="254"/>
      <c r="J65" s="179"/>
      <c r="K65" s="179"/>
      <c r="L65" s="179"/>
      <c r="M65" s="179"/>
      <c r="N65" s="179" t="s">
        <v>14</v>
      </c>
      <c r="O65" s="441" t="s">
        <v>181</v>
      </c>
      <c r="P65" s="441"/>
      <c r="Q65" s="251"/>
      <c r="R65" s="162"/>
      <c r="S65" s="162"/>
    </row>
    <row r="66" spans="1:21" s="91" customFormat="1" ht="18" customHeight="1" x14ac:dyDescent="0.3">
      <c r="A66" s="162"/>
      <c r="B66" s="452" t="s">
        <v>491</v>
      </c>
      <c r="C66" s="452"/>
      <c r="D66" s="452"/>
      <c r="E66" s="452"/>
      <c r="F66" s="258" t="s">
        <v>256</v>
      </c>
      <c r="G66" s="252" t="s">
        <v>257</v>
      </c>
      <c r="H66" s="179"/>
      <c r="I66" s="254"/>
      <c r="J66" s="179"/>
      <c r="K66" s="179"/>
      <c r="L66" s="179"/>
      <c r="M66" s="179"/>
      <c r="N66" s="179" t="s">
        <v>14</v>
      </c>
      <c r="O66" s="441" t="s">
        <v>181</v>
      </c>
      <c r="P66" s="441"/>
      <c r="Q66" s="251"/>
      <c r="R66" s="162"/>
      <c r="S66" s="162"/>
    </row>
    <row r="67" spans="1:21" s="91" customFormat="1" ht="18" customHeight="1" x14ac:dyDescent="0.3">
      <c r="A67" s="162"/>
      <c r="B67" s="452" t="s">
        <v>258</v>
      </c>
      <c r="C67" s="452"/>
      <c r="D67" s="452"/>
      <c r="E67" s="452"/>
      <c r="F67" s="258" t="s">
        <v>259</v>
      </c>
      <c r="G67" s="252" t="s">
        <v>260</v>
      </c>
      <c r="H67" s="257">
        <f>H68+H69+H70</f>
        <v>5000</v>
      </c>
      <c r="I67" s="257">
        <f>I69+I70</f>
        <v>0</v>
      </c>
      <c r="J67" s="257">
        <f>J68+J69+J70</f>
        <v>0</v>
      </c>
      <c r="K67" s="179"/>
      <c r="L67" s="179">
        <f t="shared" ref="L67" si="13">L68+L69+L70</f>
        <v>0</v>
      </c>
      <c r="M67" s="179"/>
      <c r="N67" s="179" t="s">
        <v>14</v>
      </c>
      <c r="O67" s="441" t="s">
        <v>181</v>
      </c>
      <c r="P67" s="441"/>
      <c r="Q67" s="251"/>
      <c r="R67" s="162"/>
      <c r="S67" s="15">
        <v>5000</v>
      </c>
      <c r="T67" s="15">
        <f>H67-S67</f>
        <v>0</v>
      </c>
      <c r="U67" s="316">
        <v>290</v>
      </c>
    </row>
    <row r="68" spans="1:21" s="91" customFormat="1" ht="24" customHeight="1" x14ac:dyDescent="0.3">
      <c r="A68" s="162"/>
      <c r="B68" s="452" t="s">
        <v>261</v>
      </c>
      <c r="C68" s="452"/>
      <c r="D68" s="452"/>
      <c r="E68" s="452"/>
      <c r="F68" s="258" t="s">
        <v>262</v>
      </c>
      <c r="G68" s="252" t="s">
        <v>263</v>
      </c>
      <c r="H68" s="257"/>
      <c r="I68" s="257"/>
      <c r="J68" s="257"/>
      <c r="K68" s="179"/>
      <c r="L68" s="179"/>
      <c r="M68" s="179"/>
      <c r="N68" s="179" t="s">
        <v>14</v>
      </c>
      <c r="O68" s="441" t="s">
        <v>181</v>
      </c>
      <c r="P68" s="441"/>
      <c r="Q68" s="251"/>
      <c r="R68" s="162"/>
      <c r="S68" s="162"/>
    </row>
    <row r="69" spans="1:21" s="91" customFormat="1" ht="34.5" customHeight="1" x14ac:dyDescent="0.3">
      <c r="A69" s="162"/>
      <c r="B69" s="452" t="s">
        <v>264</v>
      </c>
      <c r="C69" s="452"/>
      <c r="D69" s="452"/>
      <c r="E69" s="452"/>
      <c r="F69" s="258" t="s">
        <v>265</v>
      </c>
      <c r="G69" s="252" t="s">
        <v>266</v>
      </c>
      <c r="H69" s="179"/>
      <c r="I69" s="254"/>
      <c r="J69" s="179"/>
      <c r="K69" s="179"/>
      <c r="L69" s="179"/>
      <c r="M69" s="179"/>
      <c r="N69" s="179" t="s">
        <v>14</v>
      </c>
      <c r="O69" s="441" t="s">
        <v>181</v>
      </c>
      <c r="P69" s="441"/>
      <c r="Q69" s="251"/>
      <c r="R69" s="162"/>
      <c r="S69" s="162"/>
    </row>
    <row r="70" spans="1:21" s="91" customFormat="1" ht="27.75" customHeight="1" x14ac:dyDescent="0.3">
      <c r="A70" s="162"/>
      <c r="B70" s="452" t="s">
        <v>267</v>
      </c>
      <c r="C70" s="452"/>
      <c r="D70" s="452"/>
      <c r="E70" s="452"/>
      <c r="F70" s="258" t="s">
        <v>268</v>
      </c>
      <c r="G70" s="252" t="s">
        <v>269</v>
      </c>
      <c r="H70" s="253">
        <f>'290'!I11</f>
        <v>5000</v>
      </c>
      <c r="I70" s="254"/>
      <c r="J70" s="253">
        <f>'290'!J11</f>
        <v>0</v>
      </c>
      <c r="K70" s="179"/>
      <c r="L70" s="253">
        <f>'290'!K11</f>
        <v>0</v>
      </c>
      <c r="M70" s="179"/>
      <c r="N70" s="179" t="s">
        <v>14</v>
      </c>
      <c r="O70" s="441" t="s">
        <v>181</v>
      </c>
      <c r="P70" s="441"/>
      <c r="Q70" s="251"/>
      <c r="R70" s="162"/>
      <c r="S70" s="162"/>
    </row>
    <row r="71" spans="1:21" s="91" customFormat="1" ht="28.5" customHeight="1" x14ac:dyDescent="0.3">
      <c r="A71" s="162"/>
      <c r="B71" s="452" t="s">
        <v>270</v>
      </c>
      <c r="C71" s="452"/>
      <c r="D71" s="452"/>
      <c r="E71" s="452"/>
      <c r="F71" s="258" t="s">
        <v>271</v>
      </c>
      <c r="G71" s="252" t="s">
        <v>14</v>
      </c>
      <c r="H71" s="179"/>
      <c r="I71" s="179">
        <f>I72+I73+I74+I75+I76+I77</f>
        <v>0</v>
      </c>
      <c r="J71" s="179"/>
      <c r="K71" s="179">
        <f>K72+K73+K74+K75+K76+K77</f>
        <v>0</v>
      </c>
      <c r="L71" s="179"/>
      <c r="M71" s="179">
        <f>M72+M73+M74+M75+M76+M77</f>
        <v>0</v>
      </c>
      <c r="N71" s="179" t="s">
        <v>14</v>
      </c>
      <c r="O71" s="441" t="s">
        <v>181</v>
      </c>
      <c r="P71" s="441"/>
      <c r="Q71" s="251"/>
      <c r="R71" s="162"/>
      <c r="S71" s="162"/>
    </row>
    <row r="72" spans="1:21" s="91" customFormat="1" ht="26.25" customHeight="1" x14ac:dyDescent="0.3">
      <c r="A72" s="162"/>
      <c r="B72" s="452" t="s">
        <v>493</v>
      </c>
      <c r="C72" s="452"/>
      <c r="D72" s="452"/>
      <c r="E72" s="452"/>
      <c r="F72" s="258" t="s">
        <v>272</v>
      </c>
      <c r="G72" s="252">
        <v>613</v>
      </c>
      <c r="H72" s="179"/>
      <c r="I72" s="179"/>
      <c r="J72" s="179"/>
      <c r="K72" s="179"/>
      <c r="L72" s="179"/>
      <c r="M72" s="179"/>
      <c r="N72" s="179" t="s">
        <v>14</v>
      </c>
      <c r="O72" s="441" t="s">
        <v>181</v>
      </c>
      <c r="P72" s="441"/>
      <c r="Q72" s="251"/>
      <c r="R72" s="162"/>
      <c r="S72" s="162"/>
    </row>
    <row r="73" spans="1:21" s="91" customFormat="1" ht="16.5" customHeight="1" x14ac:dyDescent="0.3">
      <c r="A73" s="162"/>
      <c r="B73" s="452" t="s">
        <v>492</v>
      </c>
      <c r="C73" s="452"/>
      <c r="D73" s="452"/>
      <c r="E73" s="452"/>
      <c r="F73" s="258" t="s">
        <v>274</v>
      </c>
      <c r="G73" s="252">
        <v>623</v>
      </c>
      <c r="H73" s="179"/>
      <c r="I73" s="179"/>
      <c r="J73" s="179"/>
      <c r="K73" s="179"/>
      <c r="L73" s="179"/>
      <c r="M73" s="179"/>
      <c r="N73" s="179" t="s">
        <v>14</v>
      </c>
      <c r="O73" s="441" t="s">
        <v>181</v>
      </c>
      <c r="P73" s="441"/>
      <c r="Q73" s="251"/>
      <c r="R73" s="162"/>
      <c r="S73" s="162"/>
    </row>
    <row r="74" spans="1:21" s="103" customFormat="1" ht="16.5" customHeight="1" x14ac:dyDescent="0.3">
      <c r="A74" s="162"/>
      <c r="B74" s="452" t="s">
        <v>494</v>
      </c>
      <c r="C74" s="452"/>
      <c r="D74" s="452"/>
      <c r="E74" s="452"/>
      <c r="F74" s="258" t="s">
        <v>275</v>
      </c>
      <c r="G74" s="252">
        <v>634</v>
      </c>
      <c r="H74" s="179"/>
      <c r="I74" s="179"/>
      <c r="J74" s="179"/>
      <c r="K74" s="179"/>
      <c r="L74" s="179"/>
      <c r="M74" s="179"/>
      <c r="N74" s="179"/>
      <c r="O74" s="441" t="s">
        <v>181</v>
      </c>
      <c r="P74" s="441"/>
      <c r="Q74" s="251"/>
      <c r="R74" s="162"/>
      <c r="S74" s="162"/>
    </row>
    <row r="75" spans="1:21" s="103" customFormat="1" ht="16.5" customHeight="1" x14ac:dyDescent="0.3">
      <c r="A75" s="162"/>
      <c r="B75" s="452" t="s">
        <v>495</v>
      </c>
      <c r="C75" s="452"/>
      <c r="D75" s="452"/>
      <c r="E75" s="452"/>
      <c r="F75" s="258">
        <v>2440</v>
      </c>
      <c r="G75" s="252">
        <v>810</v>
      </c>
      <c r="H75" s="179"/>
      <c r="I75" s="179"/>
      <c r="J75" s="179"/>
      <c r="K75" s="179"/>
      <c r="L75" s="179"/>
      <c r="M75" s="179"/>
      <c r="N75" s="179"/>
      <c r="O75" s="441" t="s">
        <v>181</v>
      </c>
      <c r="P75" s="441"/>
      <c r="Q75" s="251"/>
      <c r="R75" s="162"/>
      <c r="S75" s="162"/>
    </row>
    <row r="76" spans="1:21" s="103" customFormat="1" ht="17.25" customHeight="1" x14ac:dyDescent="0.3">
      <c r="A76" s="162"/>
      <c r="B76" s="452" t="s">
        <v>273</v>
      </c>
      <c r="C76" s="452"/>
      <c r="D76" s="452"/>
      <c r="E76" s="452"/>
      <c r="F76" s="258">
        <v>2450</v>
      </c>
      <c r="G76" s="252">
        <v>862</v>
      </c>
      <c r="H76" s="179"/>
      <c r="I76" s="179"/>
      <c r="J76" s="179"/>
      <c r="K76" s="179"/>
      <c r="L76" s="179"/>
      <c r="M76" s="179"/>
      <c r="N76" s="179"/>
      <c r="O76" s="441" t="s">
        <v>181</v>
      </c>
      <c r="P76" s="441"/>
      <c r="Q76" s="251"/>
      <c r="R76" s="162"/>
      <c r="S76" s="162"/>
    </row>
    <row r="77" spans="1:21" s="91" customFormat="1" ht="42" customHeight="1" x14ac:dyDescent="0.3">
      <c r="A77" s="162"/>
      <c r="B77" s="452" t="s">
        <v>496</v>
      </c>
      <c r="C77" s="452"/>
      <c r="D77" s="452"/>
      <c r="E77" s="452"/>
      <c r="F77" s="258">
        <v>2460</v>
      </c>
      <c r="G77" s="252">
        <v>863</v>
      </c>
      <c r="H77" s="179"/>
      <c r="I77" s="179"/>
      <c r="J77" s="179"/>
      <c r="K77" s="179"/>
      <c r="L77" s="179"/>
      <c r="M77" s="179"/>
      <c r="N77" s="179" t="s">
        <v>14</v>
      </c>
      <c r="O77" s="441" t="s">
        <v>181</v>
      </c>
      <c r="P77" s="441"/>
      <c r="Q77" s="251"/>
      <c r="R77" s="162"/>
      <c r="S77" s="162"/>
    </row>
    <row r="78" spans="1:21" s="91" customFormat="1" ht="24.75" customHeight="1" x14ac:dyDescent="0.3">
      <c r="A78" s="162"/>
      <c r="B78" s="452" t="s">
        <v>276</v>
      </c>
      <c r="C78" s="452"/>
      <c r="D78" s="452"/>
      <c r="E78" s="452"/>
      <c r="F78" s="258" t="s">
        <v>277</v>
      </c>
      <c r="G78" s="252" t="s">
        <v>14</v>
      </c>
      <c r="H78" s="179"/>
      <c r="I78" s="179">
        <f>I79</f>
        <v>0</v>
      </c>
      <c r="J78" s="179"/>
      <c r="K78" s="179">
        <f t="shared" ref="K78:M78" si="14">K79</f>
        <v>0</v>
      </c>
      <c r="L78" s="179"/>
      <c r="M78" s="179">
        <f t="shared" si="14"/>
        <v>0</v>
      </c>
      <c r="N78" s="179" t="s">
        <v>14</v>
      </c>
      <c r="O78" s="441" t="s">
        <v>181</v>
      </c>
      <c r="P78" s="441"/>
      <c r="Q78" s="251"/>
      <c r="R78" s="162"/>
      <c r="S78" s="162"/>
    </row>
    <row r="79" spans="1:21" s="91" customFormat="1" ht="36" customHeight="1" x14ac:dyDescent="0.3">
      <c r="A79" s="162"/>
      <c r="B79" s="451" t="s">
        <v>278</v>
      </c>
      <c r="C79" s="451"/>
      <c r="D79" s="451"/>
      <c r="E79" s="451"/>
      <c r="F79" s="252" t="s">
        <v>279</v>
      </c>
      <c r="G79" s="252" t="s">
        <v>280</v>
      </c>
      <c r="H79" s="179"/>
      <c r="I79" s="254"/>
      <c r="J79" s="179"/>
      <c r="K79" s="179"/>
      <c r="L79" s="179"/>
      <c r="M79" s="179"/>
      <c r="N79" s="179" t="s">
        <v>14</v>
      </c>
      <c r="O79" s="441" t="s">
        <v>181</v>
      </c>
      <c r="P79" s="441"/>
      <c r="Q79" s="251"/>
      <c r="R79" s="162"/>
      <c r="S79" s="162"/>
    </row>
    <row r="80" spans="1:21" s="91" customFormat="1" ht="18" customHeight="1" x14ac:dyDescent="0.3">
      <c r="A80" s="162"/>
      <c r="B80" s="451" t="s">
        <v>281</v>
      </c>
      <c r="C80" s="451"/>
      <c r="D80" s="451"/>
      <c r="E80" s="451"/>
      <c r="F80" s="252" t="s">
        <v>282</v>
      </c>
      <c r="G80" s="252" t="s">
        <v>14</v>
      </c>
      <c r="H80" s="257">
        <f>H81+H82+H83+H94</f>
        <v>9569122.8000000007</v>
      </c>
      <c r="I80" s="257">
        <f t="shared" ref="I80" si="15">I81+I82+I83+I93+I94</f>
        <v>155669.47999999998</v>
      </c>
      <c r="J80" s="257">
        <f t="shared" ref="J80:M80" si="16">J81+J82+J83+J94</f>
        <v>8260844.6299999999</v>
      </c>
      <c r="K80" s="257">
        <f t="shared" si="16"/>
        <v>22306.719999999998</v>
      </c>
      <c r="L80" s="179">
        <f t="shared" si="16"/>
        <v>8261192.3200000003</v>
      </c>
      <c r="M80" s="179">
        <f t="shared" si="16"/>
        <v>22306.719999999998</v>
      </c>
      <c r="N80" s="179"/>
      <c r="O80" s="441" t="s">
        <v>181</v>
      </c>
      <c r="P80" s="441"/>
      <c r="Q80" s="251"/>
      <c r="R80" s="162"/>
      <c r="S80" s="162"/>
    </row>
    <row r="81" spans="1:21" s="91" customFormat="1" ht="24" customHeight="1" x14ac:dyDescent="0.3">
      <c r="A81" s="162"/>
      <c r="B81" s="451" t="s">
        <v>610</v>
      </c>
      <c r="C81" s="451"/>
      <c r="D81" s="451"/>
      <c r="E81" s="451"/>
      <c r="F81" s="252" t="s">
        <v>283</v>
      </c>
      <c r="G81" s="252" t="s">
        <v>284</v>
      </c>
      <c r="H81" s="179"/>
      <c r="I81" s="254"/>
      <c r="J81" s="179"/>
      <c r="K81" s="179"/>
      <c r="L81" s="179"/>
      <c r="M81" s="179"/>
      <c r="N81" s="179"/>
      <c r="O81" s="441" t="s">
        <v>181</v>
      </c>
      <c r="P81" s="441"/>
      <c r="Q81" s="251"/>
      <c r="R81" s="162"/>
      <c r="S81" s="162"/>
    </row>
    <row r="82" spans="1:21" s="91" customFormat="1" ht="24" customHeight="1" x14ac:dyDescent="0.3">
      <c r="A82" s="162"/>
      <c r="B82" s="452" t="s">
        <v>285</v>
      </c>
      <c r="C82" s="452"/>
      <c r="D82" s="452"/>
      <c r="E82" s="452"/>
      <c r="F82" s="258" t="s">
        <v>286</v>
      </c>
      <c r="G82" s="258" t="s">
        <v>287</v>
      </c>
      <c r="H82" s="253">
        <f>'225 подробно'!I48+'226 подробно'!$F$38</f>
        <v>350000</v>
      </c>
      <c r="I82" s="254"/>
      <c r="J82" s="253">
        <f>'225 подробно'!$J$48+'226 подробно'!$G$38</f>
        <v>0</v>
      </c>
      <c r="K82" s="254"/>
      <c r="L82" s="253">
        <f>'225 подробно'!$K$48+'226 подробно'!$H$38</f>
        <v>0</v>
      </c>
      <c r="M82" s="179"/>
      <c r="N82" s="179"/>
      <c r="O82" s="441" t="s">
        <v>181</v>
      </c>
      <c r="P82" s="441"/>
      <c r="Q82" s="251"/>
      <c r="R82" s="15"/>
      <c r="S82" s="162"/>
    </row>
    <row r="83" spans="1:21" s="91" customFormat="1" ht="18.75" x14ac:dyDescent="0.3">
      <c r="A83" s="162"/>
      <c r="B83" s="120" t="s">
        <v>288</v>
      </c>
      <c r="C83" s="120"/>
      <c r="D83" s="120"/>
      <c r="E83" s="120"/>
      <c r="F83" s="258" t="s">
        <v>289</v>
      </c>
      <c r="G83" s="258" t="s">
        <v>290</v>
      </c>
      <c r="H83" s="179">
        <f>SUM(H85:H92)</f>
        <v>5915905.7000000011</v>
      </c>
      <c r="I83" s="257">
        <f>SUM(I85:I92)</f>
        <v>153439.24</v>
      </c>
      <c r="J83" s="179">
        <f t="shared" ref="J83:M83" si="17">SUM(J85:J92)</f>
        <v>5460844.6299999999</v>
      </c>
      <c r="K83" s="257">
        <f>SUM(K85:K92)</f>
        <v>22306.719999999998</v>
      </c>
      <c r="L83" s="179">
        <f t="shared" si="17"/>
        <v>5461192.3200000003</v>
      </c>
      <c r="M83" s="179">
        <f t="shared" si="17"/>
        <v>22306.719999999998</v>
      </c>
      <c r="N83" s="179"/>
      <c r="O83" s="441" t="s">
        <v>181</v>
      </c>
      <c r="P83" s="441"/>
      <c r="Q83" s="251"/>
      <c r="R83" s="316">
        <v>112</v>
      </c>
      <c r="S83" s="162"/>
    </row>
    <row r="84" spans="1:21" s="91" customFormat="1" ht="13.5" customHeight="1" x14ac:dyDescent="0.3">
      <c r="A84" s="162"/>
      <c r="B84" s="452" t="s">
        <v>291</v>
      </c>
      <c r="C84" s="452"/>
      <c r="D84" s="452"/>
      <c r="E84" s="452"/>
      <c r="F84" s="258"/>
      <c r="G84" s="258"/>
      <c r="H84" s="179"/>
      <c r="I84" s="254"/>
      <c r="J84" s="179"/>
      <c r="K84" s="254"/>
      <c r="L84" s="179"/>
      <c r="M84" s="179"/>
      <c r="N84" s="179"/>
      <c r="O84" s="441" t="s">
        <v>181</v>
      </c>
      <c r="P84" s="441"/>
      <c r="Q84" s="251"/>
      <c r="R84" s="162"/>
      <c r="S84" s="162"/>
    </row>
    <row r="85" spans="1:21" s="91" customFormat="1" ht="18" customHeight="1" x14ac:dyDescent="0.3">
      <c r="A85" s="162"/>
      <c r="B85" s="452" t="s">
        <v>292</v>
      </c>
      <c r="C85" s="452"/>
      <c r="D85" s="452"/>
      <c r="E85" s="452"/>
      <c r="F85" s="258" t="s">
        <v>293</v>
      </c>
      <c r="G85" s="258" t="s">
        <v>290</v>
      </c>
      <c r="H85" s="253">
        <f>сводная!C12</f>
        <v>16000</v>
      </c>
      <c r="I85" s="253">
        <v>0</v>
      </c>
      <c r="J85" s="253">
        <f>сводная!D12</f>
        <v>66000</v>
      </c>
      <c r="K85" s="253">
        <v>0</v>
      </c>
      <c r="L85" s="253">
        <f>сводная!E12</f>
        <v>66000</v>
      </c>
      <c r="M85" s="253">
        <v>0</v>
      </c>
      <c r="N85" s="179"/>
      <c r="O85" s="441" t="s">
        <v>181</v>
      </c>
      <c r="P85" s="441"/>
      <c r="Q85" s="251"/>
      <c r="R85" s="15"/>
      <c r="S85" s="15">
        <v>16000</v>
      </c>
      <c r="T85" s="15">
        <f>H85-S85</f>
        <v>0</v>
      </c>
      <c r="U85" s="316">
        <v>221</v>
      </c>
    </row>
    <row r="86" spans="1:21" s="91" customFormat="1" ht="18" customHeight="1" x14ac:dyDescent="0.3">
      <c r="A86" s="162"/>
      <c r="B86" s="452" t="s">
        <v>294</v>
      </c>
      <c r="C86" s="452"/>
      <c r="D86" s="452"/>
      <c r="E86" s="452"/>
      <c r="F86" s="258" t="s">
        <v>295</v>
      </c>
      <c r="G86" s="258" t="s">
        <v>290</v>
      </c>
      <c r="H86" s="253">
        <f>сводная!$C$13</f>
        <v>0</v>
      </c>
      <c r="I86" s="253">
        <v>0</v>
      </c>
      <c r="J86" s="253">
        <f>сводная!$D$13</f>
        <v>0</v>
      </c>
      <c r="K86" s="253">
        <v>0</v>
      </c>
      <c r="L86" s="253">
        <f>сводная!$E$13</f>
        <v>0</v>
      </c>
      <c r="M86" s="253">
        <v>0</v>
      </c>
      <c r="N86" s="179"/>
      <c r="O86" s="441" t="s">
        <v>181</v>
      </c>
      <c r="P86" s="441"/>
      <c r="Q86" s="251"/>
      <c r="R86" s="15">
        <v>0</v>
      </c>
      <c r="S86" s="15">
        <v>0</v>
      </c>
      <c r="T86" s="15">
        <f t="shared" ref="T86:T94" si="18">H86-S86</f>
        <v>0</v>
      </c>
      <c r="U86" s="316">
        <v>222</v>
      </c>
    </row>
    <row r="87" spans="1:21" s="91" customFormat="1" ht="18" customHeight="1" x14ac:dyDescent="0.3">
      <c r="A87" s="162"/>
      <c r="B87" s="452" t="s">
        <v>296</v>
      </c>
      <c r="C87" s="452"/>
      <c r="D87" s="452"/>
      <c r="E87" s="452"/>
      <c r="F87" s="258" t="s">
        <v>297</v>
      </c>
      <c r="G87" s="258">
        <v>244</v>
      </c>
      <c r="H87" s="253">
        <f>'223'!$I$7</f>
        <v>407181.33</v>
      </c>
      <c r="I87" s="253">
        <v>0</v>
      </c>
      <c r="J87" s="253">
        <f>'223'!$J$7</f>
        <v>387979</v>
      </c>
      <c r="K87" s="253">
        <v>2230.2399999999998</v>
      </c>
      <c r="L87" s="253">
        <f>'223'!$K$7</f>
        <v>387979</v>
      </c>
      <c r="M87" s="253">
        <v>2230.2399999999998</v>
      </c>
      <c r="N87" s="179"/>
      <c r="O87" s="441" t="s">
        <v>181</v>
      </c>
      <c r="P87" s="441"/>
      <c r="Q87" s="251"/>
      <c r="R87" s="15"/>
      <c r="S87" s="15">
        <v>407181.33</v>
      </c>
      <c r="T87" s="15">
        <f t="shared" si="18"/>
        <v>0</v>
      </c>
      <c r="U87" s="316">
        <v>223</v>
      </c>
    </row>
    <row r="88" spans="1:21" s="91" customFormat="1" ht="18" customHeight="1" x14ac:dyDescent="0.3">
      <c r="A88" s="162"/>
      <c r="B88" s="452" t="s">
        <v>298</v>
      </c>
      <c r="C88" s="452"/>
      <c r="D88" s="452"/>
      <c r="E88" s="452"/>
      <c r="F88" s="258" t="s">
        <v>299</v>
      </c>
      <c r="G88" s="258" t="s">
        <v>290</v>
      </c>
      <c r="H88" s="253">
        <f>'225 подробно'!I50+'225 подробно'!I49</f>
        <v>2260406.2800000003</v>
      </c>
      <c r="I88" s="253">
        <v>189.77</v>
      </c>
      <c r="J88" s="253">
        <f>'225 подробно'!$J$49+'225 подробно'!$J$50</f>
        <v>2454725.52</v>
      </c>
      <c r="K88" s="253">
        <v>189.77</v>
      </c>
      <c r="L88" s="253">
        <f>'225 подробно'!$K$49+'225 подробно'!$K$50</f>
        <v>2454725.52</v>
      </c>
      <c r="M88" s="253">
        <v>189.77</v>
      </c>
      <c r="N88" s="179"/>
      <c r="O88" s="441" t="s">
        <v>181</v>
      </c>
      <c r="P88" s="441"/>
      <c r="Q88" s="251"/>
      <c r="R88" s="15"/>
      <c r="S88" s="15">
        <v>2260406.2799999998</v>
      </c>
      <c r="T88" s="15">
        <f>H88-S88</f>
        <v>0</v>
      </c>
      <c r="U88" s="316">
        <v>225</v>
      </c>
    </row>
    <row r="89" spans="1:21" s="91" customFormat="1" ht="18" customHeight="1" x14ac:dyDescent="0.3">
      <c r="A89" s="162"/>
      <c r="B89" s="452" t="s">
        <v>300</v>
      </c>
      <c r="C89" s="452"/>
      <c r="D89" s="452"/>
      <c r="E89" s="452"/>
      <c r="F89" s="258" t="s">
        <v>301</v>
      </c>
      <c r="G89" s="258" t="s">
        <v>290</v>
      </c>
      <c r="H89" s="253">
        <f>'226 подробно'!F40+'226 подробно'!F39-'226 подробно'!F18</f>
        <v>1322174.82</v>
      </c>
      <c r="I89" s="253">
        <v>94946.04</v>
      </c>
      <c r="J89" s="253">
        <f>'226 подробно'!$G$40-'226 подробно'!G18</f>
        <v>1449526.82</v>
      </c>
      <c r="K89" s="253">
        <v>0</v>
      </c>
      <c r="L89" s="253">
        <f>'226 подробно'!$H$40-'226 подробно'!H18</f>
        <v>1449526.82</v>
      </c>
      <c r="M89" s="253">
        <v>0</v>
      </c>
      <c r="N89" s="179"/>
      <c r="O89" s="441" t="s">
        <v>181</v>
      </c>
      <c r="P89" s="441"/>
      <c r="Q89" s="251"/>
      <c r="R89" s="15">
        <v>0</v>
      </c>
      <c r="S89" s="15">
        <v>1322174.8199999998</v>
      </c>
      <c r="T89" s="15">
        <f t="shared" si="18"/>
        <v>0</v>
      </c>
      <c r="U89" s="316">
        <v>226</v>
      </c>
    </row>
    <row r="90" spans="1:21" s="91" customFormat="1" ht="18" customHeight="1" x14ac:dyDescent="0.3">
      <c r="A90" s="162"/>
      <c r="B90" s="452" t="s">
        <v>302</v>
      </c>
      <c r="C90" s="452"/>
      <c r="D90" s="452"/>
      <c r="E90" s="452"/>
      <c r="F90" s="258" t="s">
        <v>303</v>
      </c>
      <c r="G90" s="258" t="s">
        <v>290</v>
      </c>
      <c r="H90" s="253">
        <f>'227'!I8</f>
        <v>0</v>
      </c>
      <c r="I90" s="253">
        <v>0</v>
      </c>
      <c r="J90" s="253">
        <f>'227'!$J$8</f>
        <v>0</v>
      </c>
      <c r="K90" s="253">
        <v>0</v>
      </c>
      <c r="L90" s="253">
        <f>'227'!$K$8</f>
        <v>0</v>
      </c>
      <c r="M90" s="253">
        <v>0</v>
      </c>
      <c r="N90" s="179"/>
      <c r="O90" s="441" t="s">
        <v>181</v>
      </c>
      <c r="P90" s="441"/>
      <c r="Q90" s="251"/>
      <c r="R90" s="15"/>
      <c r="S90" s="15">
        <v>0</v>
      </c>
      <c r="T90" s="15">
        <f t="shared" si="18"/>
        <v>0</v>
      </c>
      <c r="U90" s="316">
        <v>227</v>
      </c>
    </row>
    <row r="91" spans="1:21" s="91" customFormat="1" ht="18" customHeight="1" x14ac:dyDescent="0.3">
      <c r="A91" s="162"/>
      <c r="B91" s="452" t="s">
        <v>304</v>
      </c>
      <c r="C91" s="452"/>
      <c r="D91" s="452"/>
      <c r="E91" s="452"/>
      <c r="F91" s="258" t="s">
        <v>305</v>
      </c>
      <c r="G91" s="258" t="s">
        <v>290</v>
      </c>
      <c r="H91" s="253">
        <f>сводная!C20</f>
        <v>1365688.1800000002</v>
      </c>
      <c r="I91" s="253">
        <v>0</v>
      </c>
      <c r="J91" s="253">
        <f>сводная!D20</f>
        <v>735706</v>
      </c>
      <c r="K91" s="253">
        <v>0</v>
      </c>
      <c r="L91" s="253">
        <f>сводная!E20</f>
        <v>737188</v>
      </c>
      <c r="M91" s="253">
        <v>0</v>
      </c>
      <c r="N91" s="179"/>
      <c r="O91" s="441" t="s">
        <v>181</v>
      </c>
      <c r="P91" s="441"/>
      <c r="Q91" s="251"/>
      <c r="R91" s="15"/>
      <c r="S91" s="15">
        <v>1365688.1800000002</v>
      </c>
      <c r="T91" s="15">
        <f t="shared" si="18"/>
        <v>0</v>
      </c>
      <c r="U91" s="316">
        <v>310</v>
      </c>
    </row>
    <row r="92" spans="1:21" s="91" customFormat="1" ht="18" customHeight="1" x14ac:dyDescent="0.3">
      <c r="A92" s="162"/>
      <c r="B92" s="452" t="s">
        <v>306</v>
      </c>
      <c r="C92" s="452"/>
      <c r="D92" s="452"/>
      <c r="E92" s="452"/>
      <c r="F92" s="258" t="s">
        <v>307</v>
      </c>
      <c r="G92" s="258" t="s">
        <v>290</v>
      </c>
      <c r="H92" s="253">
        <f>сводная!C21</f>
        <v>544455.09</v>
      </c>
      <c r="I92" s="253">
        <v>58303.430000000008</v>
      </c>
      <c r="J92" s="253">
        <f>сводная!D21</f>
        <v>366907.29000000004</v>
      </c>
      <c r="K92" s="253">
        <v>19886.71</v>
      </c>
      <c r="L92" s="253">
        <f>сводная!E21</f>
        <v>365772.98</v>
      </c>
      <c r="M92" s="253">
        <v>19886.71</v>
      </c>
      <c r="N92" s="179"/>
      <c r="O92" s="441" t="s">
        <v>181</v>
      </c>
      <c r="P92" s="441"/>
      <c r="Q92" s="251"/>
      <c r="R92" s="15"/>
      <c r="S92" s="15">
        <v>544455.09</v>
      </c>
      <c r="T92" s="15">
        <f t="shared" si="18"/>
        <v>0</v>
      </c>
      <c r="U92" s="316">
        <v>346</v>
      </c>
    </row>
    <row r="93" spans="1:21" s="103" customFormat="1" ht="23.25" customHeight="1" x14ac:dyDescent="0.3">
      <c r="A93" s="162"/>
      <c r="B93" s="456" t="s">
        <v>497</v>
      </c>
      <c r="C93" s="457"/>
      <c r="D93" s="457"/>
      <c r="E93" s="458"/>
      <c r="F93" s="258">
        <v>2650</v>
      </c>
      <c r="G93" s="258">
        <v>246</v>
      </c>
      <c r="H93" s="179"/>
      <c r="I93" s="179"/>
      <c r="J93" s="179"/>
      <c r="K93" s="179"/>
      <c r="L93" s="179"/>
      <c r="M93" s="179"/>
      <c r="N93" s="179"/>
      <c r="O93" s="441" t="s">
        <v>181</v>
      </c>
      <c r="P93" s="441"/>
      <c r="Q93" s="251"/>
      <c r="R93" s="15">
        <v>0</v>
      </c>
      <c r="S93" s="227"/>
      <c r="T93" s="15"/>
    </row>
    <row r="94" spans="1:21" s="103" customFormat="1" ht="18.75" customHeight="1" x14ac:dyDescent="0.3">
      <c r="A94" s="162"/>
      <c r="B94" s="459" t="s">
        <v>498</v>
      </c>
      <c r="C94" s="460"/>
      <c r="D94" s="460"/>
      <c r="E94" s="461"/>
      <c r="F94" s="258">
        <v>2660</v>
      </c>
      <c r="G94" s="258">
        <v>247</v>
      </c>
      <c r="H94" s="253">
        <f>'223'!$I$10</f>
        <v>3303217.1</v>
      </c>
      <c r="I94" s="253">
        <v>2230.2399999999998</v>
      </c>
      <c r="J94" s="253">
        <f>'223'!$J$10</f>
        <v>2800000</v>
      </c>
      <c r="K94" s="253">
        <v>0</v>
      </c>
      <c r="L94" s="253">
        <f>'223'!$K$10</f>
        <v>2800000</v>
      </c>
      <c r="M94" s="253">
        <v>0</v>
      </c>
      <c r="N94" s="179"/>
      <c r="O94" s="441" t="s">
        <v>181</v>
      </c>
      <c r="P94" s="441"/>
      <c r="Q94" s="251"/>
      <c r="R94" s="15"/>
      <c r="S94" s="15">
        <v>3303217.1</v>
      </c>
      <c r="T94" s="15">
        <f t="shared" si="18"/>
        <v>0</v>
      </c>
    </row>
    <row r="95" spans="1:21" s="91" customFormat="1" ht="25.5" customHeight="1" x14ac:dyDescent="0.3">
      <c r="A95" s="162"/>
      <c r="B95" s="452" t="s">
        <v>308</v>
      </c>
      <c r="C95" s="452"/>
      <c r="D95" s="452"/>
      <c r="E95" s="452"/>
      <c r="F95" s="258" t="s">
        <v>309</v>
      </c>
      <c r="G95" s="258" t="s">
        <v>310</v>
      </c>
      <c r="H95" s="179"/>
      <c r="I95" s="254"/>
      <c r="J95" s="179"/>
      <c r="K95" s="258"/>
      <c r="L95" s="179"/>
      <c r="M95" s="179"/>
      <c r="N95" s="179"/>
      <c r="O95" s="441" t="s">
        <v>181</v>
      </c>
      <c r="P95" s="441"/>
      <c r="Q95" s="251"/>
      <c r="R95" s="15">
        <v>31250</v>
      </c>
      <c r="S95" s="316">
        <v>262</v>
      </c>
    </row>
    <row r="96" spans="1:21" s="91" customFormat="1" ht="25.5" customHeight="1" x14ac:dyDescent="0.3">
      <c r="A96" s="162"/>
      <c r="B96" s="452" t="s">
        <v>609</v>
      </c>
      <c r="C96" s="452"/>
      <c r="D96" s="452"/>
      <c r="E96" s="452"/>
      <c r="F96" s="258" t="s">
        <v>311</v>
      </c>
      <c r="G96" s="258" t="s">
        <v>312</v>
      </c>
      <c r="H96" s="179"/>
      <c r="I96" s="254"/>
      <c r="J96" s="179"/>
      <c r="K96" s="260"/>
      <c r="L96" s="179"/>
      <c r="M96" s="179"/>
      <c r="N96" s="179"/>
      <c r="O96" s="441" t="s">
        <v>181</v>
      </c>
      <c r="P96" s="441"/>
      <c r="Q96" s="251"/>
      <c r="R96" s="162"/>
      <c r="S96" s="162"/>
    </row>
    <row r="97" spans="1:33" s="91" customFormat="1" ht="28.5" customHeight="1" x14ac:dyDescent="0.3">
      <c r="A97" s="162"/>
      <c r="B97" s="451" t="s">
        <v>313</v>
      </c>
      <c r="C97" s="451"/>
      <c r="D97" s="451"/>
      <c r="E97" s="451"/>
      <c r="F97" s="252" t="s">
        <v>314</v>
      </c>
      <c r="G97" s="252" t="s">
        <v>315</v>
      </c>
      <c r="H97" s="179"/>
      <c r="I97" s="254"/>
      <c r="J97" s="179"/>
      <c r="K97" s="260"/>
      <c r="L97" s="179"/>
      <c r="M97" s="179"/>
      <c r="N97" s="179"/>
      <c r="O97" s="441" t="s">
        <v>181</v>
      </c>
      <c r="P97" s="441"/>
      <c r="Q97" s="251"/>
      <c r="R97" s="162"/>
      <c r="S97" s="162"/>
    </row>
    <row r="98" spans="1:33" s="91" customFormat="1" ht="18.75" x14ac:dyDescent="0.3">
      <c r="A98" s="162"/>
      <c r="B98" s="455" t="s">
        <v>316</v>
      </c>
      <c r="C98" s="455"/>
      <c r="D98" s="455"/>
      <c r="E98" s="455"/>
      <c r="F98" s="252" t="s">
        <v>317</v>
      </c>
      <c r="G98" s="252" t="s">
        <v>318</v>
      </c>
      <c r="H98" s="254">
        <f>H99</f>
        <v>0</v>
      </c>
      <c r="I98" s="254">
        <f>I99</f>
        <v>0</v>
      </c>
      <c r="J98" s="254">
        <f t="shared" ref="J98:M98" si="19">J99</f>
        <v>0</v>
      </c>
      <c r="K98" s="254">
        <f t="shared" si="19"/>
        <v>0</v>
      </c>
      <c r="L98" s="254">
        <f t="shared" si="19"/>
        <v>0</v>
      </c>
      <c r="M98" s="254">
        <f t="shared" si="19"/>
        <v>0</v>
      </c>
      <c r="N98" s="179" t="s">
        <v>14</v>
      </c>
      <c r="O98" s="441" t="s">
        <v>181</v>
      </c>
      <c r="P98" s="441"/>
      <c r="Q98" s="251"/>
      <c r="R98" s="162"/>
      <c r="S98" s="162"/>
    </row>
    <row r="99" spans="1:33" s="91" customFormat="1" ht="18" customHeight="1" x14ac:dyDescent="0.3">
      <c r="A99" s="162"/>
      <c r="B99" s="451" t="s">
        <v>608</v>
      </c>
      <c r="C99" s="451"/>
      <c r="D99" s="451"/>
      <c r="E99" s="451"/>
      <c r="F99" s="252" t="s">
        <v>319</v>
      </c>
      <c r="G99" s="252"/>
      <c r="H99" s="179"/>
      <c r="I99" s="254"/>
      <c r="J99" s="179"/>
      <c r="K99" s="258"/>
      <c r="L99" s="179"/>
      <c r="M99" s="179"/>
      <c r="N99" s="179" t="s">
        <v>14</v>
      </c>
      <c r="O99" s="441" t="s">
        <v>181</v>
      </c>
      <c r="P99" s="441"/>
      <c r="Q99" s="251"/>
      <c r="R99" s="162"/>
      <c r="S99" s="162"/>
    </row>
    <row r="100" spans="1:33" s="91" customFormat="1" ht="18" customHeight="1" x14ac:dyDescent="0.3">
      <c r="A100" s="162"/>
      <c r="B100" s="455" t="s">
        <v>320</v>
      </c>
      <c r="C100" s="455"/>
      <c r="D100" s="455"/>
      <c r="E100" s="455"/>
      <c r="F100" s="252" t="s">
        <v>321</v>
      </c>
      <c r="G100" s="252"/>
      <c r="H100" s="179"/>
      <c r="I100" s="254"/>
      <c r="J100" s="179"/>
      <c r="K100" s="258"/>
      <c r="L100" s="179"/>
      <c r="M100" s="179"/>
      <c r="N100" s="179" t="s">
        <v>14</v>
      </c>
      <c r="O100" s="441" t="s">
        <v>181</v>
      </c>
      <c r="P100" s="441"/>
      <c r="Q100" s="251"/>
      <c r="R100" s="162"/>
      <c r="S100" s="162"/>
    </row>
    <row r="101" spans="1:33" s="91" customFormat="1" ht="18" customHeight="1" x14ac:dyDescent="0.3">
      <c r="A101" s="162"/>
      <c r="B101" s="455" t="s">
        <v>322</v>
      </c>
      <c r="C101" s="455"/>
      <c r="D101" s="455"/>
      <c r="E101" s="455"/>
      <c r="F101" s="252" t="s">
        <v>323</v>
      </c>
      <c r="G101" s="252"/>
      <c r="H101" s="179"/>
      <c r="I101" s="254"/>
      <c r="J101" s="179"/>
      <c r="K101" s="258"/>
      <c r="L101" s="179"/>
      <c r="M101" s="179"/>
      <c r="N101" s="179" t="s">
        <v>14</v>
      </c>
      <c r="O101" s="441" t="s">
        <v>181</v>
      </c>
      <c r="P101" s="441"/>
      <c r="Q101" s="251"/>
      <c r="R101" s="162"/>
      <c r="S101" s="162"/>
    </row>
    <row r="102" spans="1:33" s="91" customFormat="1" ht="18" customHeight="1" x14ac:dyDescent="0.3">
      <c r="A102" s="162"/>
      <c r="B102" s="455" t="s">
        <v>324</v>
      </c>
      <c r="C102" s="455"/>
      <c r="D102" s="455"/>
      <c r="E102" s="455"/>
      <c r="F102" s="252" t="s">
        <v>325</v>
      </c>
      <c r="G102" s="252" t="s">
        <v>14</v>
      </c>
      <c r="H102" s="179"/>
      <c r="I102" s="254"/>
      <c r="J102" s="179"/>
      <c r="K102" s="258"/>
      <c r="L102" s="179"/>
      <c r="M102" s="179"/>
      <c r="N102" s="179" t="s">
        <v>14</v>
      </c>
      <c r="O102" s="441" t="s">
        <v>181</v>
      </c>
      <c r="P102" s="441"/>
      <c r="Q102" s="251"/>
      <c r="R102" s="162"/>
      <c r="S102" s="162"/>
    </row>
    <row r="103" spans="1:33" s="91" customFormat="1" ht="27" customHeight="1" x14ac:dyDescent="0.3">
      <c r="A103" s="162"/>
      <c r="B103" s="451" t="s">
        <v>326</v>
      </c>
      <c r="C103" s="451"/>
      <c r="D103" s="451"/>
      <c r="E103" s="451"/>
      <c r="F103" s="252" t="s">
        <v>327</v>
      </c>
      <c r="G103" s="252" t="s">
        <v>328</v>
      </c>
      <c r="H103" s="179"/>
      <c r="I103" s="254"/>
      <c r="J103" s="179"/>
      <c r="K103" s="258"/>
      <c r="L103" s="179"/>
      <c r="M103" s="179"/>
      <c r="N103" s="179" t="s">
        <v>14</v>
      </c>
      <c r="O103" s="441" t="s">
        <v>181</v>
      </c>
      <c r="P103" s="441"/>
      <c r="Q103" s="251"/>
      <c r="R103" s="162"/>
      <c r="S103" s="162"/>
    </row>
    <row r="104" spans="1:33" s="227" customFormat="1" ht="19.5" customHeight="1" x14ac:dyDescent="0.3">
      <c r="B104" s="265"/>
      <c r="C104" s="265"/>
      <c r="D104" s="265"/>
      <c r="E104" s="265"/>
      <c r="F104" s="264"/>
      <c r="G104" s="264"/>
      <c r="H104" s="308">
        <f>H25+H27-H52</f>
        <v>0</v>
      </c>
      <c r="I104" s="308">
        <f t="shared" ref="I104:M104" si="20">I25+I27-I52</f>
        <v>0</v>
      </c>
      <c r="J104" s="308">
        <f>J25+J27-J52</f>
        <v>0</v>
      </c>
      <c r="K104" s="308">
        <f t="shared" si="20"/>
        <v>0</v>
      </c>
      <c r="L104" s="308">
        <f t="shared" si="20"/>
        <v>0</v>
      </c>
      <c r="M104" s="308">
        <f t="shared" si="20"/>
        <v>0</v>
      </c>
      <c r="N104" s="268"/>
      <c r="O104" s="268"/>
      <c r="P104" s="268"/>
      <c r="Q104" s="264"/>
    </row>
    <row r="105" spans="1:33" s="91" customFormat="1" ht="19.5" customHeight="1" x14ac:dyDescent="0.3">
      <c r="A105" s="491" t="s">
        <v>499</v>
      </c>
      <c r="B105" s="491"/>
      <c r="C105" s="491"/>
      <c r="D105" s="491"/>
      <c r="E105" s="491"/>
      <c r="F105" s="491"/>
      <c r="G105" s="491"/>
      <c r="H105" s="491"/>
      <c r="I105" s="491"/>
      <c r="J105" s="491"/>
      <c r="K105" s="491"/>
      <c r="L105" s="491"/>
      <c r="M105" s="491"/>
      <c r="N105" s="491"/>
      <c r="O105" s="491"/>
      <c r="P105" s="491"/>
      <c r="Q105" s="491"/>
      <c r="R105" s="36"/>
      <c r="S105" s="36"/>
      <c r="T105" s="185"/>
      <c r="U105" s="185"/>
      <c r="V105" s="185"/>
      <c r="W105" s="185"/>
      <c r="X105" s="185"/>
      <c r="Y105" s="185"/>
      <c r="Z105" s="185"/>
      <c r="AA105" s="185"/>
      <c r="AB105" s="185"/>
      <c r="AC105" s="185"/>
      <c r="AD105" s="163"/>
      <c r="AE105" s="163"/>
      <c r="AF105" s="163"/>
      <c r="AG105" s="163"/>
    </row>
    <row r="106" spans="1:33" ht="15" customHeight="1" x14ac:dyDescent="0.2">
      <c r="A106" s="493" t="s">
        <v>329</v>
      </c>
      <c r="B106" s="485" t="s">
        <v>36</v>
      </c>
      <c r="C106" s="552"/>
      <c r="D106" s="552"/>
      <c r="E106" s="552"/>
      <c r="F106" s="553"/>
      <c r="G106" s="488" t="s">
        <v>330</v>
      </c>
      <c r="H106" s="485" t="s">
        <v>399</v>
      </c>
      <c r="I106" s="488" t="s">
        <v>500</v>
      </c>
      <c r="J106" s="445" t="s">
        <v>331</v>
      </c>
      <c r="K106" s="479"/>
      <c r="L106" s="479"/>
      <c r="M106" s="479"/>
      <c r="N106" s="479"/>
      <c r="O106" s="479"/>
      <c r="P106" s="479"/>
      <c r="Q106" s="479"/>
      <c r="R106" s="184"/>
      <c r="S106" s="49"/>
      <c r="T106" s="49"/>
      <c r="U106" s="49"/>
      <c r="V106" s="49"/>
      <c r="W106" s="49"/>
      <c r="X106" s="49"/>
      <c r="Y106" s="49"/>
      <c r="Z106" s="49"/>
      <c r="AA106" s="49"/>
      <c r="AB106" s="49"/>
      <c r="AC106" s="49"/>
      <c r="AD106" s="163"/>
      <c r="AE106" s="163"/>
      <c r="AF106" s="163"/>
      <c r="AG106" s="163"/>
    </row>
    <row r="107" spans="1:33" ht="15" customHeight="1" x14ac:dyDescent="0.2">
      <c r="A107" s="494"/>
      <c r="B107" s="486"/>
      <c r="C107" s="554"/>
      <c r="D107" s="554"/>
      <c r="E107" s="554"/>
      <c r="F107" s="555"/>
      <c r="G107" s="489"/>
      <c r="H107" s="486"/>
      <c r="I107" s="489"/>
      <c r="J107" s="480" t="s">
        <v>559</v>
      </c>
      <c r="K107" s="481"/>
      <c r="L107" s="482" t="s">
        <v>552</v>
      </c>
      <c r="M107" s="482"/>
      <c r="N107" s="482" t="s">
        <v>578</v>
      </c>
      <c r="O107" s="482"/>
      <c r="P107" s="445" t="s">
        <v>332</v>
      </c>
      <c r="Q107" s="446"/>
      <c r="R107" s="184"/>
      <c r="S107" s="49"/>
      <c r="T107" s="49"/>
      <c r="U107" s="49"/>
      <c r="V107" s="49"/>
      <c r="W107" s="49"/>
      <c r="X107" s="49"/>
      <c r="Y107" s="49"/>
      <c r="Z107" s="49"/>
      <c r="AA107" s="49"/>
      <c r="AB107" s="49"/>
      <c r="AC107" s="49"/>
      <c r="AD107" s="163"/>
      <c r="AE107" s="163"/>
      <c r="AF107" s="163"/>
      <c r="AG107" s="163"/>
    </row>
    <row r="108" spans="1:33" ht="24.75" customHeight="1" x14ac:dyDescent="0.2">
      <c r="A108" s="494"/>
      <c r="B108" s="487"/>
      <c r="C108" s="556"/>
      <c r="D108" s="556"/>
      <c r="E108" s="556"/>
      <c r="F108" s="557"/>
      <c r="G108" s="490"/>
      <c r="H108" s="487"/>
      <c r="I108" s="490"/>
      <c r="J108" s="480" t="s">
        <v>122</v>
      </c>
      <c r="K108" s="481"/>
      <c r="L108" s="482" t="s">
        <v>333</v>
      </c>
      <c r="M108" s="482"/>
      <c r="N108" s="482" t="s">
        <v>334</v>
      </c>
      <c r="O108" s="482"/>
      <c r="P108" s="447"/>
      <c r="Q108" s="448"/>
      <c r="R108" s="184"/>
      <c r="S108" s="49"/>
      <c r="T108" s="49"/>
      <c r="U108" s="49"/>
      <c r="V108" s="49"/>
      <c r="W108" s="49"/>
      <c r="X108" s="49"/>
      <c r="Y108" s="49"/>
      <c r="Z108" s="49"/>
      <c r="AA108" s="49"/>
      <c r="AB108" s="49"/>
      <c r="AC108" s="49"/>
      <c r="AD108" s="163"/>
      <c r="AE108" s="163"/>
      <c r="AF108" s="163"/>
      <c r="AG108" s="163"/>
    </row>
    <row r="109" spans="1:33" ht="15" customHeight="1" x14ac:dyDescent="0.2">
      <c r="A109" s="286">
        <v>1</v>
      </c>
      <c r="B109" s="449" t="s">
        <v>336</v>
      </c>
      <c r="C109" s="558"/>
      <c r="D109" s="558"/>
      <c r="E109" s="558"/>
      <c r="F109" s="450"/>
      <c r="G109" s="345" t="s">
        <v>40</v>
      </c>
      <c r="H109" s="287" t="s">
        <v>41</v>
      </c>
      <c r="I109" s="288" t="s">
        <v>501</v>
      </c>
      <c r="J109" s="498">
        <v>5</v>
      </c>
      <c r="K109" s="499"/>
      <c r="L109" s="495" t="s">
        <v>337</v>
      </c>
      <c r="M109" s="495"/>
      <c r="N109" s="495" t="s">
        <v>338</v>
      </c>
      <c r="O109" s="495"/>
      <c r="P109" s="449" t="s">
        <v>339</v>
      </c>
      <c r="Q109" s="450"/>
      <c r="R109" s="201"/>
      <c r="S109" s="202"/>
      <c r="T109" s="202"/>
      <c r="U109" s="202"/>
      <c r="V109" s="202"/>
      <c r="W109" s="202"/>
      <c r="X109" s="202"/>
      <c r="Y109" s="202"/>
      <c r="Z109" s="202"/>
      <c r="AA109" s="202"/>
      <c r="AB109" s="202"/>
      <c r="AC109" s="202"/>
      <c r="AD109" s="163"/>
      <c r="AE109" s="163"/>
      <c r="AF109" s="163"/>
      <c r="AG109" s="163"/>
    </row>
    <row r="110" spans="1:33" ht="18" customHeight="1" x14ac:dyDescent="0.3">
      <c r="A110" s="149">
        <v>1</v>
      </c>
      <c r="B110" s="549" t="s">
        <v>602</v>
      </c>
      <c r="C110" s="550"/>
      <c r="D110" s="550"/>
      <c r="E110" s="550"/>
      <c r="F110" s="551"/>
      <c r="G110" s="344" t="s">
        <v>341</v>
      </c>
      <c r="H110" s="309" t="s">
        <v>14</v>
      </c>
      <c r="I110" s="261"/>
      <c r="J110" s="496">
        <f>H80+I80</f>
        <v>9724792.2800000012</v>
      </c>
      <c r="K110" s="497"/>
      <c r="L110" s="496">
        <f>J80+K80</f>
        <v>8283151.3499999996</v>
      </c>
      <c r="M110" s="497"/>
      <c r="N110" s="496">
        <f>L80+M80</f>
        <v>8283499.04</v>
      </c>
      <c r="O110" s="497"/>
      <c r="P110" s="443"/>
      <c r="Q110" s="444"/>
      <c r="R110" s="206"/>
      <c r="S110" s="207"/>
      <c r="T110" s="198"/>
      <c r="U110" s="198"/>
      <c r="V110" s="198"/>
      <c r="W110" s="198"/>
      <c r="X110" s="198"/>
      <c r="Y110" s="198"/>
      <c r="Z110" s="198"/>
      <c r="AA110" s="203"/>
      <c r="AB110" s="203"/>
      <c r="AC110" s="203"/>
      <c r="AD110" s="163"/>
      <c r="AE110" s="21"/>
      <c r="AF110" s="163"/>
      <c r="AG110" s="163"/>
    </row>
    <row r="111" spans="1:33" ht="119.25" customHeight="1" x14ac:dyDescent="0.3">
      <c r="A111" s="149" t="s">
        <v>342</v>
      </c>
      <c r="B111" s="559" t="s">
        <v>605</v>
      </c>
      <c r="C111" s="560"/>
      <c r="D111" s="560"/>
      <c r="E111" s="560"/>
      <c r="F111" s="561"/>
      <c r="G111" s="344" t="s">
        <v>344</v>
      </c>
      <c r="H111" s="309" t="s">
        <v>14</v>
      </c>
      <c r="I111" s="261"/>
      <c r="J111" s="443"/>
      <c r="K111" s="444"/>
      <c r="L111" s="443"/>
      <c r="M111" s="444"/>
      <c r="N111" s="443"/>
      <c r="O111" s="444"/>
      <c r="P111" s="443"/>
      <c r="Q111" s="444"/>
      <c r="R111" s="206"/>
      <c r="S111" s="207"/>
      <c r="T111" s="198"/>
      <c r="U111" s="198"/>
      <c r="V111" s="198"/>
      <c r="W111" s="198"/>
      <c r="X111" s="198"/>
      <c r="Y111" s="198"/>
      <c r="Z111" s="198"/>
      <c r="AA111" s="203"/>
      <c r="AB111" s="203"/>
      <c r="AC111" s="203"/>
      <c r="AD111" s="163"/>
      <c r="AE111" s="21"/>
      <c r="AF111" s="163"/>
      <c r="AG111" s="163"/>
    </row>
    <row r="112" spans="1:33" ht="28.5" customHeight="1" x14ac:dyDescent="0.3">
      <c r="A112" s="149" t="s">
        <v>345</v>
      </c>
      <c r="B112" s="549" t="s">
        <v>346</v>
      </c>
      <c r="C112" s="550"/>
      <c r="D112" s="550"/>
      <c r="E112" s="550"/>
      <c r="F112" s="551"/>
      <c r="G112" s="344" t="s">
        <v>347</v>
      </c>
      <c r="H112" s="309" t="s">
        <v>14</v>
      </c>
      <c r="I112" s="261"/>
      <c r="J112" s="443"/>
      <c r="K112" s="444"/>
      <c r="L112" s="443"/>
      <c r="M112" s="444"/>
      <c r="N112" s="442"/>
      <c r="O112" s="442"/>
      <c r="P112" s="443"/>
      <c r="Q112" s="444"/>
      <c r="R112" s="215"/>
      <c r="S112" s="207"/>
      <c r="T112" s="198"/>
      <c r="U112" s="198"/>
      <c r="V112" s="198"/>
      <c r="W112" s="198"/>
      <c r="X112" s="198"/>
      <c r="Y112" s="198"/>
      <c r="Z112" s="198"/>
      <c r="AA112" s="203"/>
      <c r="AB112" s="203"/>
      <c r="AC112" s="203"/>
      <c r="AD112" s="163"/>
      <c r="AE112" s="21"/>
      <c r="AF112" s="163"/>
      <c r="AG112" s="163"/>
    </row>
    <row r="113" spans="1:33" ht="39" customHeight="1" x14ac:dyDescent="0.3">
      <c r="A113" s="149" t="s">
        <v>348</v>
      </c>
      <c r="B113" s="549" t="s">
        <v>349</v>
      </c>
      <c r="C113" s="550"/>
      <c r="D113" s="550"/>
      <c r="E113" s="550"/>
      <c r="F113" s="551"/>
      <c r="G113" s="344" t="s">
        <v>350</v>
      </c>
      <c r="H113" s="309" t="s">
        <v>14</v>
      </c>
      <c r="I113" s="261"/>
      <c r="J113" s="496">
        <f>J114+J116</f>
        <v>965559.74999999988</v>
      </c>
      <c r="K113" s="497"/>
      <c r="L113" s="496">
        <f>T114+T116</f>
        <v>0</v>
      </c>
      <c r="M113" s="497"/>
      <c r="N113" s="496">
        <f>V114+V116</f>
        <v>0</v>
      </c>
      <c r="O113" s="497"/>
      <c r="P113" s="443"/>
      <c r="Q113" s="444"/>
      <c r="R113" s="215"/>
      <c r="S113" s="207"/>
      <c r="T113" s="198"/>
      <c r="U113" s="198"/>
      <c r="V113" s="198"/>
      <c r="W113" s="198"/>
      <c r="X113" s="198"/>
      <c r="Y113" s="198"/>
      <c r="Z113" s="198"/>
      <c r="AA113" s="203"/>
      <c r="AB113" s="203"/>
      <c r="AC113" s="203"/>
      <c r="AD113" s="163"/>
      <c r="AE113" s="163"/>
      <c r="AF113" s="163"/>
      <c r="AG113" s="163"/>
    </row>
    <row r="114" spans="1:33" ht="18.75" customHeight="1" x14ac:dyDescent="0.3">
      <c r="A114" s="149" t="s">
        <v>502</v>
      </c>
      <c r="B114" s="549" t="s">
        <v>503</v>
      </c>
      <c r="C114" s="550"/>
      <c r="D114" s="550"/>
      <c r="E114" s="550"/>
      <c r="F114" s="551"/>
      <c r="G114" s="344" t="s">
        <v>504</v>
      </c>
      <c r="H114" s="319" t="s">
        <v>14</v>
      </c>
      <c r="I114" s="262"/>
      <c r="J114" s="501">
        <f>614400+1419923.4+1000000-1000000-199000.04-869763.61</f>
        <v>965559.74999999988</v>
      </c>
      <c r="K114" s="501"/>
      <c r="L114" s="501"/>
      <c r="M114" s="501"/>
      <c r="N114" s="438"/>
      <c r="O114" s="438"/>
      <c r="P114" s="438"/>
      <c r="Q114" s="438"/>
      <c r="R114" s="431">
        <v>965559.75</v>
      </c>
      <c r="S114" s="208">
        <f>J114-R114</f>
        <v>0</v>
      </c>
      <c r="T114" s="204"/>
      <c r="U114" s="199"/>
      <c r="V114" s="199"/>
      <c r="W114" s="199"/>
      <c r="X114" s="199"/>
      <c r="Y114" s="199"/>
      <c r="Z114" s="199"/>
      <c r="AA114" s="205"/>
      <c r="AB114" s="205"/>
      <c r="AC114" s="205"/>
      <c r="AD114" s="163"/>
      <c r="AE114" s="163"/>
      <c r="AF114" s="163"/>
      <c r="AG114" s="163"/>
    </row>
    <row r="115" spans="1:33" ht="18" customHeight="1" x14ac:dyDescent="0.3">
      <c r="A115" s="149"/>
      <c r="B115" s="549" t="s">
        <v>505</v>
      </c>
      <c r="C115" s="550"/>
      <c r="D115" s="550"/>
      <c r="E115" s="550"/>
      <c r="F115" s="551"/>
      <c r="G115" s="344" t="s">
        <v>506</v>
      </c>
      <c r="H115" s="319"/>
      <c r="I115" s="321"/>
      <c r="J115" s="443"/>
      <c r="K115" s="444"/>
      <c r="L115" s="335"/>
      <c r="M115" s="336"/>
      <c r="N115" s="438"/>
      <c r="O115" s="438"/>
      <c r="P115" s="438"/>
      <c r="Q115" s="438"/>
      <c r="R115" s="216"/>
      <c r="S115" s="210"/>
      <c r="T115" s="199"/>
      <c r="U115" s="199"/>
      <c r="V115" s="199"/>
      <c r="W115" s="199"/>
      <c r="X115" s="199"/>
      <c r="Y115" s="199"/>
      <c r="Z115" s="199"/>
      <c r="AA115" s="205"/>
      <c r="AB115" s="205"/>
      <c r="AC115" s="205"/>
      <c r="AD115" s="163"/>
      <c r="AE115" s="163"/>
      <c r="AF115" s="163"/>
      <c r="AG115" s="163"/>
    </row>
    <row r="116" spans="1:33" ht="20.25" customHeight="1" x14ac:dyDescent="0.3">
      <c r="A116" s="149" t="s">
        <v>507</v>
      </c>
      <c r="B116" s="549" t="s">
        <v>508</v>
      </c>
      <c r="C116" s="550"/>
      <c r="D116" s="550"/>
      <c r="E116" s="550"/>
      <c r="F116" s="551"/>
      <c r="G116" s="344" t="s">
        <v>509</v>
      </c>
      <c r="H116" s="325" t="s">
        <v>14</v>
      </c>
      <c r="I116" s="326"/>
      <c r="J116" s="439"/>
      <c r="K116" s="440"/>
      <c r="L116" s="439"/>
      <c r="M116" s="440"/>
      <c r="N116" s="500"/>
      <c r="O116" s="500"/>
      <c r="P116" s="439"/>
      <c r="Q116" s="440"/>
      <c r="R116" s="215"/>
      <c r="S116" s="207"/>
      <c r="T116" s="198"/>
      <c r="U116" s="198"/>
      <c r="V116" s="198"/>
      <c r="W116" s="198"/>
      <c r="X116" s="198"/>
      <c r="Y116" s="198"/>
      <c r="Z116" s="198"/>
      <c r="AA116" s="203"/>
      <c r="AB116" s="203"/>
      <c r="AC116" s="203"/>
      <c r="AD116" s="136"/>
      <c r="AE116" s="175"/>
      <c r="AF116" s="163"/>
      <c r="AG116" s="163"/>
    </row>
    <row r="117" spans="1:33" ht="18" customHeight="1" x14ac:dyDescent="0.3">
      <c r="A117" s="149"/>
      <c r="B117" s="549" t="s">
        <v>505</v>
      </c>
      <c r="C117" s="550"/>
      <c r="D117" s="550"/>
      <c r="E117" s="550"/>
      <c r="F117" s="551"/>
      <c r="G117" s="344" t="s">
        <v>510</v>
      </c>
      <c r="H117" s="325"/>
      <c r="I117" s="326"/>
      <c r="J117" s="439"/>
      <c r="K117" s="440"/>
      <c r="L117" s="439"/>
      <c r="M117" s="440"/>
      <c r="N117" s="500"/>
      <c r="O117" s="500"/>
      <c r="P117" s="439"/>
      <c r="Q117" s="440"/>
      <c r="R117" s="215">
        <f>R119+R122+R133+J113</f>
        <v>9724792.2800000012</v>
      </c>
      <c r="S117" s="207"/>
      <c r="T117" s="198"/>
      <c r="U117" s="504"/>
      <c r="V117" s="504"/>
      <c r="W117" s="504"/>
      <c r="X117" s="504"/>
      <c r="Y117" s="504"/>
      <c r="Z117" s="504"/>
      <c r="AA117" s="505"/>
      <c r="AB117" s="505"/>
      <c r="AC117" s="505"/>
      <c r="AD117" s="183"/>
      <c r="AE117" s="175"/>
      <c r="AF117" s="163"/>
      <c r="AG117" s="163"/>
    </row>
    <row r="118" spans="1:33" ht="57" customHeight="1" x14ac:dyDescent="0.3">
      <c r="A118" s="149" t="s">
        <v>351</v>
      </c>
      <c r="B118" s="549" t="s">
        <v>575</v>
      </c>
      <c r="C118" s="550"/>
      <c r="D118" s="550"/>
      <c r="E118" s="550"/>
      <c r="F118" s="551"/>
      <c r="G118" s="344" t="s">
        <v>353</v>
      </c>
      <c r="H118" s="309" t="s">
        <v>14</v>
      </c>
      <c r="I118" s="262"/>
      <c r="J118" s="506">
        <f>H80+I80-J113</f>
        <v>8759232.5300000012</v>
      </c>
      <c r="K118" s="506"/>
      <c r="L118" s="506">
        <f>J80+K80-L113</f>
        <v>8283151.3499999996</v>
      </c>
      <c r="M118" s="506"/>
      <c r="N118" s="506">
        <f>L80+M80-N113</f>
        <v>8283499.04</v>
      </c>
      <c r="O118" s="506"/>
      <c r="P118" s="443"/>
      <c r="Q118" s="444"/>
      <c r="R118" s="215">
        <f>J110</f>
        <v>9724792.2800000012</v>
      </c>
      <c r="S118" s="213"/>
      <c r="T118" s="198"/>
      <c r="U118" s="504"/>
      <c r="V118" s="504"/>
      <c r="W118" s="504"/>
      <c r="X118" s="504"/>
      <c r="Y118" s="504"/>
      <c r="Z118" s="504"/>
      <c r="AA118" s="505"/>
      <c r="AB118" s="505"/>
      <c r="AC118" s="505"/>
      <c r="AD118" s="177"/>
      <c r="AE118" s="178"/>
      <c r="AF118" s="161"/>
      <c r="AG118" s="161"/>
    </row>
    <row r="119" spans="1:33" ht="30.75" customHeight="1" x14ac:dyDescent="0.3">
      <c r="A119" s="149" t="s">
        <v>354</v>
      </c>
      <c r="B119" s="549" t="s">
        <v>601</v>
      </c>
      <c r="C119" s="550"/>
      <c r="D119" s="550"/>
      <c r="E119" s="550"/>
      <c r="F119" s="551"/>
      <c r="G119" s="344" t="s">
        <v>355</v>
      </c>
      <c r="H119" s="309" t="s">
        <v>14</v>
      </c>
      <c r="I119" s="261"/>
      <c r="J119" s="502">
        <f>J120+J121</f>
        <v>8253563.0500000007</v>
      </c>
      <c r="K119" s="503"/>
      <c r="L119" s="502">
        <f>L120+L121</f>
        <v>8260844.6299999999</v>
      </c>
      <c r="M119" s="503"/>
      <c r="N119" s="502">
        <f>N120+N121</f>
        <v>8261192.3200000003</v>
      </c>
      <c r="O119" s="503"/>
      <c r="P119" s="443"/>
      <c r="Q119" s="444"/>
      <c r="R119" s="215">
        <v>8253563.0500000007</v>
      </c>
      <c r="S119" s="213">
        <f>J119-R119</f>
        <v>0</v>
      </c>
      <c r="T119" s="198"/>
      <c r="U119" s="504"/>
      <c r="V119" s="504"/>
      <c r="W119" s="504"/>
      <c r="X119" s="504"/>
      <c r="Y119" s="504"/>
      <c r="Z119" s="504"/>
      <c r="AA119" s="505"/>
      <c r="AB119" s="505"/>
      <c r="AC119" s="505"/>
      <c r="AD119" s="177"/>
      <c r="AE119" s="178"/>
      <c r="AF119" s="161"/>
      <c r="AG119" s="161"/>
    </row>
    <row r="120" spans="1:33" ht="28.5" customHeight="1" x14ac:dyDescent="0.3">
      <c r="A120" s="149" t="s">
        <v>356</v>
      </c>
      <c r="B120" s="549" t="s">
        <v>560</v>
      </c>
      <c r="C120" s="550"/>
      <c r="D120" s="550"/>
      <c r="E120" s="550"/>
      <c r="F120" s="551"/>
      <c r="G120" s="344" t="s">
        <v>358</v>
      </c>
      <c r="H120" s="319" t="s">
        <v>14</v>
      </c>
      <c r="I120" s="320"/>
      <c r="J120" s="502">
        <f>H80-J113-J122</f>
        <v>8253563.0500000007</v>
      </c>
      <c r="K120" s="503"/>
      <c r="L120" s="502">
        <f>J80-L116-L122</f>
        <v>8260844.6299999999</v>
      </c>
      <c r="M120" s="503"/>
      <c r="N120" s="507">
        <f>L80-N116-N122</f>
        <v>8261192.3200000003</v>
      </c>
      <c r="O120" s="507"/>
      <c r="P120" s="438"/>
      <c r="Q120" s="438"/>
      <c r="R120" s="216"/>
      <c r="S120" s="214"/>
      <c r="T120" s="199"/>
      <c r="U120" s="508"/>
      <c r="V120" s="508"/>
      <c r="W120" s="508"/>
      <c r="X120" s="508"/>
      <c r="Y120" s="508"/>
      <c r="Z120" s="508"/>
      <c r="AA120" s="509"/>
      <c r="AB120" s="509"/>
      <c r="AC120" s="509"/>
      <c r="AD120" s="180"/>
      <c r="AE120" s="161"/>
      <c r="AF120" s="161"/>
      <c r="AG120" s="161"/>
    </row>
    <row r="121" spans="1:33" ht="23.25" customHeight="1" x14ac:dyDescent="0.3">
      <c r="A121" s="149" t="s">
        <v>359</v>
      </c>
      <c r="B121" s="459" t="s">
        <v>360</v>
      </c>
      <c r="C121" s="460"/>
      <c r="D121" s="460"/>
      <c r="E121" s="460"/>
      <c r="F121" s="461"/>
      <c r="G121" s="344" t="s">
        <v>361</v>
      </c>
      <c r="H121" s="325" t="s">
        <v>14</v>
      </c>
      <c r="I121" s="327"/>
      <c r="J121" s="512"/>
      <c r="K121" s="513"/>
      <c r="L121" s="512"/>
      <c r="M121" s="513"/>
      <c r="N121" s="512"/>
      <c r="O121" s="513"/>
      <c r="P121" s="439"/>
      <c r="Q121" s="440"/>
      <c r="R121" s="215"/>
      <c r="S121" s="213"/>
      <c r="T121" s="198"/>
      <c r="U121" s="504"/>
      <c r="V121" s="504"/>
      <c r="W121" s="504"/>
      <c r="X121" s="504"/>
      <c r="Y121" s="504"/>
      <c r="Z121" s="504"/>
      <c r="AA121" s="505"/>
      <c r="AB121" s="505"/>
      <c r="AC121" s="505"/>
      <c r="AD121" s="161"/>
      <c r="AE121" s="161"/>
      <c r="AF121" s="161"/>
      <c r="AG121" s="161"/>
    </row>
    <row r="122" spans="1:33" ht="24.75" customHeight="1" x14ac:dyDescent="0.3">
      <c r="A122" s="149" t="s">
        <v>362</v>
      </c>
      <c r="B122" s="549" t="s">
        <v>603</v>
      </c>
      <c r="C122" s="550"/>
      <c r="D122" s="550"/>
      <c r="E122" s="550"/>
      <c r="F122" s="551"/>
      <c r="G122" s="344" t="s">
        <v>364</v>
      </c>
      <c r="H122" s="309" t="s">
        <v>14</v>
      </c>
      <c r="I122" s="311"/>
      <c r="J122" s="514">
        <f>J123+J127</f>
        <v>350000</v>
      </c>
      <c r="K122" s="515"/>
      <c r="L122" s="514">
        <f>L123+L127</f>
        <v>0</v>
      </c>
      <c r="M122" s="515"/>
      <c r="N122" s="514">
        <f>N123+N127</f>
        <v>0</v>
      </c>
      <c r="O122" s="515"/>
      <c r="P122" s="443"/>
      <c r="Q122" s="444"/>
      <c r="R122" s="215">
        <v>350000</v>
      </c>
      <c r="S122" s="213">
        <f>J122-R122</f>
        <v>0</v>
      </c>
      <c r="T122" s="198"/>
      <c r="U122" s="504"/>
      <c r="V122" s="504"/>
      <c r="W122" s="504"/>
      <c r="X122" s="504"/>
      <c r="Y122" s="504"/>
      <c r="Z122" s="504"/>
      <c r="AA122" s="505"/>
      <c r="AB122" s="505"/>
      <c r="AC122" s="505"/>
      <c r="AD122" s="177"/>
      <c r="AE122" s="178"/>
      <c r="AF122" s="161"/>
      <c r="AG122" s="161"/>
    </row>
    <row r="123" spans="1:33" ht="28.5" customHeight="1" x14ac:dyDescent="0.3">
      <c r="A123" s="149" t="s">
        <v>365</v>
      </c>
      <c r="B123" s="549" t="s">
        <v>357</v>
      </c>
      <c r="C123" s="550"/>
      <c r="D123" s="550"/>
      <c r="E123" s="550"/>
      <c r="F123" s="551"/>
      <c r="G123" s="342" t="s">
        <v>366</v>
      </c>
      <c r="H123" s="319" t="s">
        <v>14</v>
      </c>
      <c r="I123" s="320" t="s">
        <v>14</v>
      </c>
      <c r="J123" s="443">
        <f>SUM(J124:K126)</f>
        <v>350000</v>
      </c>
      <c r="K123" s="444"/>
      <c r="L123" s="443">
        <f t="shared" ref="L123" si="21">SUM(L124:M126)</f>
        <v>0</v>
      </c>
      <c r="M123" s="444"/>
      <c r="N123" s="443">
        <f t="shared" ref="N123" si="22">SUM(N124:O126)</f>
        <v>0</v>
      </c>
      <c r="O123" s="444"/>
      <c r="P123" s="443"/>
      <c r="Q123" s="444"/>
      <c r="R123" s="216"/>
      <c r="S123" s="210"/>
      <c r="T123" s="199"/>
      <c r="U123" s="508"/>
      <c r="V123" s="508"/>
      <c r="W123" s="508"/>
      <c r="X123" s="508"/>
      <c r="Y123" s="508"/>
      <c r="Z123" s="508"/>
      <c r="AA123" s="509"/>
      <c r="AB123" s="509"/>
      <c r="AC123" s="509"/>
      <c r="AD123" s="161"/>
      <c r="AE123" s="161"/>
      <c r="AF123" s="161"/>
      <c r="AG123" s="161"/>
    </row>
    <row r="124" spans="1:33" ht="18" customHeight="1" x14ac:dyDescent="0.3">
      <c r="A124" s="149"/>
      <c r="B124" s="549" t="s">
        <v>505</v>
      </c>
      <c r="C124" s="550"/>
      <c r="D124" s="550"/>
      <c r="E124" s="550"/>
      <c r="F124" s="551"/>
      <c r="G124" s="344" t="s">
        <v>512</v>
      </c>
      <c r="H124" s="334"/>
      <c r="I124" s="312" t="s">
        <v>529</v>
      </c>
      <c r="J124" s="510">
        <v>0</v>
      </c>
      <c r="K124" s="511"/>
      <c r="L124" s="510">
        <v>0</v>
      </c>
      <c r="M124" s="511"/>
      <c r="N124" s="516">
        <v>0</v>
      </c>
      <c r="O124" s="516"/>
      <c r="P124" s="438"/>
      <c r="Q124" s="438"/>
      <c r="R124" s="216"/>
      <c r="S124" s="210"/>
      <c r="T124" s="199"/>
      <c r="U124" s="508"/>
      <c r="V124" s="508"/>
      <c r="W124" s="508"/>
      <c r="X124" s="508"/>
      <c r="Y124" s="508"/>
      <c r="Z124" s="508"/>
      <c r="AA124" s="509"/>
      <c r="AB124" s="509"/>
      <c r="AC124" s="509"/>
      <c r="AD124" s="161"/>
      <c r="AE124" s="161"/>
      <c r="AF124" s="161"/>
      <c r="AG124" s="161"/>
    </row>
    <row r="125" spans="1:33" ht="18" customHeight="1" x14ac:dyDescent="0.3">
      <c r="A125" s="149"/>
      <c r="B125" s="480"/>
      <c r="C125" s="562"/>
      <c r="D125" s="562"/>
      <c r="E125" s="562"/>
      <c r="F125" s="481"/>
      <c r="G125" s="344" t="s">
        <v>514</v>
      </c>
      <c r="H125" s="310"/>
      <c r="I125" s="312" t="s">
        <v>519</v>
      </c>
      <c r="J125" s="510">
        <v>350000</v>
      </c>
      <c r="K125" s="511"/>
      <c r="L125" s="510">
        <v>0</v>
      </c>
      <c r="M125" s="511"/>
      <c r="N125" s="516">
        <v>0</v>
      </c>
      <c r="O125" s="516"/>
      <c r="P125" s="438"/>
      <c r="Q125" s="438"/>
      <c r="R125" s="216"/>
      <c r="S125" s="210"/>
      <c r="T125" s="199"/>
      <c r="U125" s="508"/>
      <c r="V125" s="508"/>
      <c r="W125" s="508"/>
      <c r="X125" s="508"/>
      <c r="Y125" s="508"/>
      <c r="Z125" s="508"/>
      <c r="AA125" s="509"/>
      <c r="AB125" s="509"/>
      <c r="AC125" s="509"/>
      <c r="AD125" s="161"/>
      <c r="AE125" s="161"/>
      <c r="AF125" s="161"/>
      <c r="AG125" s="161"/>
    </row>
    <row r="126" spans="1:33" ht="18" customHeight="1" x14ac:dyDescent="0.3">
      <c r="A126" s="149"/>
      <c r="B126" s="480"/>
      <c r="C126" s="562"/>
      <c r="D126" s="562"/>
      <c r="E126" s="562"/>
      <c r="F126" s="481"/>
      <c r="G126" s="344" t="s">
        <v>516</v>
      </c>
      <c r="H126" s="310"/>
      <c r="I126" s="312" t="s">
        <v>533</v>
      </c>
      <c r="J126" s="510">
        <v>0</v>
      </c>
      <c r="K126" s="511"/>
      <c r="L126" s="510">
        <v>0</v>
      </c>
      <c r="M126" s="511"/>
      <c r="N126" s="517">
        <v>0</v>
      </c>
      <c r="O126" s="518"/>
      <c r="P126" s="322"/>
      <c r="Q126" s="323"/>
      <c r="R126" s="216"/>
      <c r="S126" s="210"/>
      <c r="T126" s="199"/>
      <c r="U126" s="299"/>
      <c r="V126" s="299"/>
      <c r="W126" s="299"/>
      <c r="X126" s="299"/>
      <c r="Y126" s="299"/>
      <c r="Z126" s="299"/>
      <c r="AA126" s="300"/>
      <c r="AB126" s="300"/>
      <c r="AC126" s="300"/>
      <c r="AD126" s="298"/>
      <c r="AE126" s="298"/>
      <c r="AF126" s="298"/>
      <c r="AG126" s="298"/>
    </row>
    <row r="127" spans="1:33" ht="30" customHeight="1" x14ac:dyDescent="0.3">
      <c r="A127" s="149" t="s">
        <v>367</v>
      </c>
      <c r="B127" s="549" t="s">
        <v>539</v>
      </c>
      <c r="C127" s="550"/>
      <c r="D127" s="550"/>
      <c r="E127" s="550"/>
      <c r="F127" s="551"/>
      <c r="G127" s="344" t="s">
        <v>366</v>
      </c>
      <c r="H127" s="325" t="s">
        <v>14</v>
      </c>
      <c r="I127" s="327" t="s">
        <v>14</v>
      </c>
      <c r="J127" s="512">
        <f>SUM(J128:K130)</f>
        <v>0</v>
      </c>
      <c r="K127" s="513"/>
      <c r="L127" s="512">
        <f>SUM(L128:M130)</f>
        <v>0</v>
      </c>
      <c r="M127" s="513"/>
      <c r="N127" s="512">
        <f>SUM(N128:O130)</f>
        <v>0</v>
      </c>
      <c r="O127" s="513"/>
      <c r="P127" s="439"/>
      <c r="Q127" s="440"/>
      <c r="R127" s="215"/>
      <c r="S127" s="207"/>
      <c r="T127" s="198"/>
      <c r="U127" s="504"/>
      <c r="V127" s="504"/>
      <c r="W127" s="504"/>
      <c r="X127" s="504"/>
      <c r="Y127" s="504"/>
      <c r="Z127" s="504"/>
      <c r="AA127" s="505"/>
      <c r="AB127" s="505"/>
      <c r="AC127" s="505"/>
      <c r="AD127" s="177"/>
      <c r="AE127" s="96"/>
      <c r="AF127" s="161"/>
      <c r="AG127" s="161"/>
    </row>
    <row r="128" spans="1:33" ht="18" customHeight="1" x14ac:dyDescent="0.3">
      <c r="A128" s="149"/>
      <c r="B128" s="549" t="s">
        <v>505</v>
      </c>
      <c r="C128" s="550"/>
      <c r="D128" s="550"/>
      <c r="E128" s="550"/>
      <c r="F128" s="551"/>
      <c r="G128" s="344" t="s">
        <v>512</v>
      </c>
      <c r="H128" s="328" t="s">
        <v>14</v>
      </c>
      <c r="I128" s="329" t="s">
        <v>529</v>
      </c>
      <c r="J128" s="439"/>
      <c r="K128" s="440"/>
      <c r="L128" s="439"/>
      <c r="M128" s="440"/>
      <c r="N128" s="439"/>
      <c r="O128" s="440"/>
      <c r="P128" s="439"/>
      <c r="Q128" s="440"/>
      <c r="R128" s="217"/>
      <c r="S128" s="211"/>
      <c r="T128" s="200"/>
      <c r="U128" s="519"/>
      <c r="V128" s="519"/>
      <c r="W128" s="519"/>
      <c r="X128" s="504"/>
      <c r="Y128" s="504"/>
      <c r="Z128" s="504"/>
      <c r="AA128" s="505"/>
      <c r="AB128" s="505"/>
      <c r="AC128" s="505"/>
      <c r="AD128" s="177"/>
      <c r="AE128" s="96"/>
      <c r="AF128" s="161"/>
      <c r="AG128" s="161"/>
    </row>
    <row r="129" spans="1:33" ht="18" customHeight="1" x14ac:dyDescent="0.3">
      <c r="A129" s="149"/>
      <c r="B129" s="563"/>
      <c r="C129" s="564"/>
      <c r="D129" s="564"/>
      <c r="E129" s="564"/>
      <c r="F129" s="565"/>
      <c r="G129" s="344" t="s">
        <v>514</v>
      </c>
      <c r="H129" s="330"/>
      <c r="I129" s="329" t="s">
        <v>519</v>
      </c>
      <c r="J129" s="439"/>
      <c r="K129" s="440"/>
      <c r="L129" s="439"/>
      <c r="M129" s="440"/>
      <c r="N129" s="439"/>
      <c r="O129" s="440"/>
      <c r="P129" s="439"/>
      <c r="Q129" s="440"/>
      <c r="R129" s="217"/>
      <c r="S129" s="211"/>
      <c r="T129" s="200"/>
      <c r="U129" s="519"/>
      <c r="V129" s="519"/>
      <c r="W129" s="519"/>
      <c r="X129" s="504"/>
      <c r="Y129" s="504"/>
      <c r="Z129" s="504"/>
      <c r="AA129" s="505"/>
      <c r="AB129" s="505"/>
      <c r="AC129" s="505"/>
      <c r="AD129" s="177"/>
      <c r="AE129" s="96"/>
      <c r="AF129" s="161"/>
      <c r="AG129" s="161"/>
    </row>
    <row r="130" spans="1:33" ht="18" customHeight="1" x14ac:dyDescent="0.3">
      <c r="A130" s="149"/>
      <c r="B130" s="563"/>
      <c r="C130" s="564"/>
      <c r="D130" s="564"/>
      <c r="E130" s="564"/>
      <c r="F130" s="565"/>
      <c r="G130" s="344" t="s">
        <v>516</v>
      </c>
      <c r="H130" s="331"/>
      <c r="I130" s="332" t="s">
        <v>533</v>
      </c>
      <c r="J130" s="439"/>
      <c r="K130" s="440"/>
      <c r="L130" s="439"/>
      <c r="M130" s="440"/>
      <c r="N130" s="439"/>
      <c r="O130" s="440"/>
      <c r="P130" s="439"/>
      <c r="Q130" s="440"/>
      <c r="R130" s="217"/>
      <c r="S130" s="211"/>
      <c r="T130" s="200"/>
      <c r="U130" s="519"/>
      <c r="V130" s="519"/>
      <c r="W130" s="519"/>
      <c r="X130" s="504"/>
      <c r="Y130" s="504"/>
      <c r="Z130" s="504"/>
      <c r="AA130" s="505"/>
      <c r="AB130" s="505"/>
      <c r="AC130" s="505"/>
      <c r="AD130" s="177"/>
      <c r="AE130" s="96"/>
      <c r="AF130" s="161"/>
      <c r="AG130" s="161"/>
    </row>
    <row r="131" spans="1:33" ht="32.25" customHeight="1" x14ac:dyDescent="0.3">
      <c r="A131" s="149" t="s">
        <v>368</v>
      </c>
      <c r="B131" s="549" t="s">
        <v>574</v>
      </c>
      <c r="C131" s="550"/>
      <c r="D131" s="550"/>
      <c r="E131" s="550"/>
      <c r="F131" s="551"/>
      <c r="G131" s="343">
        <v>26430</v>
      </c>
      <c r="H131" s="309" t="s">
        <v>14</v>
      </c>
      <c r="I131" s="313"/>
      <c r="J131" s="443"/>
      <c r="K131" s="444"/>
      <c r="L131" s="520"/>
      <c r="M131" s="520"/>
      <c r="N131" s="521"/>
      <c r="O131" s="521"/>
      <c r="P131" s="443"/>
      <c r="Q131" s="444"/>
      <c r="R131" s="216"/>
      <c r="S131" s="210"/>
      <c r="T131" s="199"/>
      <c r="U131" s="508"/>
      <c r="V131" s="508"/>
      <c r="W131" s="508"/>
      <c r="X131" s="508"/>
      <c r="Y131" s="508"/>
      <c r="Z131" s="508"/>
      <c r="AA131" s="509"/>
      <c r="AB131" s="509"/>
      <c r="AC131" s="509"/>
      <c r="AD131" s="161"/>
      <c r="AE131" s="161"/>
      <c r="AF131" s="161"/>
      <c r="AG131" s="161"/>
    </row>
    <row r="132" spans="1:33" ht="18" customHeight="1" x14ac:dyDescent="0.3">
      <c r="A132" s="149"/>
      <c r="B132" s="549" t="s">
        <v>505</v>
      </c>
      <c r="C132" s="550"/>
      <c r="D132" s="550"/>
      <c r="E132" s="550"/>
      <c r="F132" s="551"/>
      <c r="G132" s="342" t="s">
        <v>540</v>
      </c>
      <c r="H132" s="309"/>
      <c r="I132" s="312"/>
      <c r="J132" s="443"/>
      <c r="K132" s="444"/>
      <c r="L132" s="443"/>
      <c r="M132" s="444"/>
      <c r="N132" s="521"/>
      <c r="O132" s="521"/>
      <c r="P132" s="443"/>
      <c r="Q132" s="444"/>
      <c r="R132" s="216"/>
      <c r="S132" s="210"/>
      <c r="T132" s="199"/>
      <c r="U132" s="508"/>
      <c r="V132" s="508"/>
      <c r="W132" s="508"/>
      <c r="X132" s="508"/>
      <c r="Y132" s="508"/>
      <c r="Z132" s="508"/>
      <c r="AA132" s="509"/>
      <c r="AB132" s="509"/>
      <c r="AC132" s="509"/>
      <c r="AD132" s="161"/>
      <c r="AE132" s="161"/>
      <c r="AF132" s="161"/>
      <c r="AG132" s="161"/>
    </row>
    <row r="133" spans="1:33" ht="18" customHeight="1" x14ac:dyDescent="0.3">
      <c r="A133" s="149" t="s">
        <v>371</v>
      </c>
      <c r="B133" s="549" t="s">
        <v>372</v>
      </c>
      <c r="C133" s="550"/>
      <c r="D133" s="550"/>
      <c r="E133" s="550"/>
      <c r="F133" s="551"/>
      <c r="G133" s="342" t="s">
        <v>373</v>
      </c>
      <c r="H133" s="310" t="s">
        <v>14</v>
      </c>
      <c r="I133" s="263"/>
      <c r="J133" s="514">
        <f>J135+J134</f>
        <v>155669.48000000045</v>
      </c>
      <c r="K133" s="515"/>
      <c r="L133" s="514">
        <f>L135+L134</f>
        <v>22306.719999999739</v>
      </c>
      <c r="M133" s="515"/>
      <c r="N133" s="514">
        <f>N135+N134</f>
        <v>22306.719999999739</v>
      </c>
      <c r="O133" s="515"/>
      <c r="P133" s="443"/>
      <c r="Q133" s="444"/>
      <c r="R133" s="215">
        <v>155669.47999999998</v>
      </c>
      <c r="S133" s="213">
        <f>J133-R133</f>
        <v>4.6566128730773926E-10</v>
      </c>
      <c r="T133" s="198"/>
      <c r="U133" s="504"/>
      <c r="V133" s="504"/>
      <c r="W133" s="504"/>
      <c r="X133" s="504"/>
      <c r="Y133" s="504"/>
      <c r="Z133" s="504"/>
      <c r="AA133" s="505"/>
      <c r="AB133" s="505"/>
      <c r="AC133" s="505"/>
      <c r="AD133" s="181"/>
      <c r="AE133" s="178"/>
      <c r="AF133" s="161"/>
      <c r="AG133" s="161"/>
    </row>
    <row r="134" spans="1:33" ht="22.5" customHeight="1" x14ac:dyDescent="0.3">
      <c r="A134" s="126" t="s">
        <v>374</v>
      </c>
      <c r="B134" s="549" t="s">
        <v>560</v>
      </c>
      <c r="C134" s="550"/>
      <c r="D134" s="550"/>
      <c r="E134" s="550"/>
      <c r="F134" s="551"/>
      <c r="G134" s="342" t="s">
        <v>375</v>
      </c>
      <c r="H134" s="319" t="s">
        <v>14</v>
      </c>
      <c r="I134" s="263"/>
      <c r="J134" s="502">
        <f>J110-J113-J119-J122</f>
        <v>155669.48000000045</v>
      </c>
      <c r="K134" s="503"/>
      <c r="L134" s="502">
        <f>L110-L113-L119-L122</f>
        <v>22306.719999999739</v>
      </c>
      <c r="M134" s="503"/>
      <c r="N134" s="507">
        <f>N110-N113-N119-N122</f>
        <v>22306.719999999739</v>
      </c>
      <c r="O134" s="507"/>
      <c r="P134" s="438"/>
      <c r="Q134" s="438"/>
      <c r="R134" s="218"/>
      <c r="S134" s="199"/>
      <c r="T134" s="199"/>
      <c r="U134" s="508"/>
      <c r="V134" s="508"/>
      <c r="W134" s="508"/>
      <c r="X134" s="508"/>
      <c r="Y134" s="508"/>
      <c r="Z134" s="508"/>
      <c r="AA134" s="509"/>
      <c r="AB134" s="509"/>
      <c r="AC134" s="509"/>
      <c r="AD134" s="161"/>
      <c r="AE134" s="182"/>
      <c r="AF134" s="161"/>
      <c r="AG134" s="161"/>
    </row>
    <row r="135" spans="1:33" ht="22.5" customHeight="1" x14ac:dyDescent="0.3">
      <c r="A135" s="149" t="s">
        <v>376</v>
      </c>
      <c r="B135" s="549" t="s">
        <v>561</v>
      </c>
      <c r="C135" s="550"/>
      <c r="D135" s="550"/>
      <c r="E135" s="550"/>
      <c r="F135" s="551"/>
      <c r="G135" s="344" t="s">
        <v>377</v>
      </c>
      <c r="H135" s="325" t="s">
        <v>14</v>
      </c>
      <c r="I135" s="333"/>
      <c r="J135" s="512"/>
      <c r="K135" s="513"/>
      <c r="L135" s="512"/>
      <c r="M135" s="513"/>
      <c r="N135" s="512"/>
      <c r="O135" s="513"/>
      <c r="P135" s="439"/>
      <c r="Q135" s="440"/>
      <c r="R135" s="219"/>
      <c r="S135" s="198"/>
      <c r="T135" s="198"/>
      <c r="U135" s="504"/>
      <c r="V135" s="504"/>
      <c r="W135" s="504"/>
      <c r="X135" s="504"/>
      <c r="Y135" s="504"/>
      <c r="Z135" s="504"/>
      <c r="AA135" s="505"/>
      <c r="AB135" s="505"/>
      <c r="AC135" s="505"/>
      <c r="AD135" s="161"/>
      <c r="AE135" s="182"/>
      <c r="AF135" s="161"/>
      <c r="AG135" s="161"/>
    </row>
    <row r="136" spans="1:33" ht="40.5" customHeight="1" x14ac:dyDescent="0.3">
      <c r="A136" s="149" t="s">
        <v>335</v>
      </c>
      <c r="B136" s="549" t="s">
        <v>378</v>
      </c>
      <c r="C136" s="550"/>
      <c r="D136" s="550"/>
      <c r="E136" s="550"/>
      <c r="F136" s="551"/>
      <c r="G136" s="344" t="s">
        <v>379</v>
      </c>
      <c r="H136" s="319" t="s">
        <v>14</v>
      </c>
      <c r="I136" s="263"/>
      <c r="J136" s="502">
        <f>SUM(J137:K139)</f>
        <v>8759232.5300000012</v>
      </c>
      <c r="K136" s="503"/>
      <c r="L136" s="502">
        <f t="shared" ref="L136" si="23">SUM(L137:M139)</f>
        <v>8283151.3499999996</v>
      </c>
      <c r="M136" s="503"/>
      <c r="N136" s="502">
        <f>SUM(N137:O139)</f>
        <v>8283499.04</v>
      </c>
      <c r="O136" s="503"/>
      <c r="P136" s="443"/>
      <c r="Q136" s="444"/>
      <c r="R136" s="218"/>
      <c r="S136" s="199"/>
      <c r="T136" s="199"/>
      <c r="U136" s="508"/>
      <c r="V136" s="508"/>
      <c r="W136" s="508"/>
      <c r="X136" s="508"/>
      <c r="Y136" s="508"/>
      <c r="Z136" s="508"/>
      <c r="AA136" s="509"/>
      <c r="AB136" s="509"/>
      <c r="AC136" s="509"/>
      <c r="AD136" s="161"/>
      <c r="AE136" s="182"/>
      <c r="AF136" s="161"/>
      <c r="AG136" s="161"/>
    </row>
    <row r="137" spans="1:33" ht="18" customHeight="1" x14ac:dyDescent="0.3">
      <c r="A137" s="149"/>
      <c r="B137" s="480" t="s">
        <v>380</v>
      </c>
      <c r="C137" s="562"/>
      <c r="D137" s="562"/>
      <c r="E137" s="562"/>
      <c r="F137" s="481"/>
      <c r="G137" s="344" t="s">
        <v>381</v>
      </c>
      <c r="H137" s="319" t="s">
        <v>486</v>
      </c>
      <c r="I137" s="263"/>
      <c r="J137" s="443">
        <f>J110-J113</f>
        <v>8759232.5300000012</v>
      </c>
      <c r="K137" s="444"/>
      <c r="L137" s="507"/>
      <c r="M137" s="507"/>
      <c r="N137" s="521"/>
      <c r="O137" s="521"/>
      <c r="P137" s="438"/>
      <c r="Q137" s="438"/>
      <c r="R137" s="522"/>
      <c r="S137" s="508"/>
      <c r="T137" s="508"/>
      <c r="U137" s="508"/>
      <c r="V137" s="508"/>
      <c r="W137" s="508"/>
      <c r="X137" s="508"/>
      <c r="Y137" s="508"/>
      <c r="Z137" s="508"/>
      <c r="AA137" s="509"/>
      <c r="AB137" s="509"/>
      <c r="AC137" s="509"/>
      <c r="AD137" s="161"/>
      <c r="AE137" s="182"/>
      <c r="AF137" s="161"/>
      <c r="AG137" s="161"/>
    </row>
    <row r="138" spans="1:33" ht="18" customHeight="1" x14ac:dyDescent="0.3">
      <c r="A138" s="149"/>
      <c r="B138" s="480" t="s">
        <v>380</v>
      </c>
      <c r="C138" s="562"/>
      <c r="D138" s="562"/>
      <c r="E138" s="562"/>
      <c r="F138" s="481"/>
      <c r="G138" s="344" t="s">
        <v>483</v>
      </c>
      <c r="H138" s="319" t="s">
        <v>573</v>
      </c>
      <c r="I138" s="263"/>
      <c r="J138" s="443"/>
      <c r="K138" s="444"/>
      <c r="L138" s="507">
        <f>L110-L113-L137</f>
        <v>8283151.3499999996</v>
      </c>
      <c r="M138" s="507"/>
      <c r="N138" s="521"/>
      <c r="O138" s="521"/>
      <c r="P138" s="438"/>
      <c r="Q138" s="438"/>
      <c r="R138" s="176" t="s">
        <v>13</v>
      </c>
      <c r="S138" s="210"/>
      <c r="T138" s="199"/>
      <c r="U138" s="508"/>
      <c r="V138" s="508"/>
      <c r="W138" s="508"/>
      <c r="X138" s="508"/>
      <c r="Y138" s="508"/>
      <c r="Z138" s="508"/>
      <c r="AA138" s="509"/>
      <c r="AB138" s="509"/>
      <c r="AC138" s="509"/>
      <c r="AD138" s="181"/>
      <c r="AE138" s="525"/>
      <c r="AF138" s="525"/>
      <c r="AG138" s="525"/>
    </row>
    <row r="139" spans="1:33" ht="18" customHeight="1" x14ac:dyDescent="0.3">
      <c r="A139" s="149"/>
      <c r="B139" s="480" t="s">
        <v>380</v>
      </c>
      <c r="C139" s="562"/>
      <c r="D139" s="562"/>
      <c r="E139" s="562"/>
      <c r="F139" s="481"/>
      <c r="G139" s="344" t="s">
        <v>485</v>
      </c>
      <c r="H139" s="319" t="s">
        <v>598</v>
      </c>
      <c r="I139" s="263"/>
      <c r="J139" s="443"/>
      <c r="K139" s="444"/>
      <c r="L139" s="507"/>
      <c r="M139" s="507"/>
      <c r="N139" s="521">
        <f>N110-N113-N138</f>
        <v>8283499.04</v>
      </c>
      <c r="O139" s="521"/>
      <c r="P139" s="438"/>
      <c r="Q139" s="438"/>
      <c r="R139" s="209">
        <f>AD118-AD119-AD122-AD133</f>
        <v>0</v>
      </c>
      <c r="S139" s="210"/>
      <c r="T139" s="199"/>
      <c r="U139" s="508"/>
      <c r="V139" s="508"/>
      <c r="W139" s="508"/>
      <c r="X139" s="508"/>
      <c r="Y139" s="508"/>
      <c r="Z139" s="508"/>
      <c r="AA139" s="509"/>
      <c r="AB139" s="509"/>
      <c r="AC139" s="509"/>
      <c r="AD139" s="181"/>
      <c r="AE139" s="182"/>
      <c r="AF139" s="161"/>
      <c r="AG139" s="161"/>
    </row>
    <row r="140" spans="1:33" ht="42" customHeight="1" x14ac:dyDescent="0.3">
      <c r="A140" s="149" t="s">
        <v>336</v>
      </c>
      <c r="B140" s="549" t="s">
        <v>606</v>
      </c>
      <c r="C140" s="550"/>
      <c r="D140" s="550"/>
      <c r="E140" s="550"/>
      <c r="F140" s="551"/>
      <c r="G140" s="344" t="s">
        <v>383</v>
      </c>
      <c r="H140" s="325" t="s">
        <v>14</v>
      </c>
      <c r="I140" s="333"/>
      <c r="J140" s="512">
        <f>SUM(J141:K143)</f>
        <v>0</v>
      </c>
      <c r="K140" s="513"/>
      <c r="L140" s="512">
        <f t="shared" ref="L140" si="24">SUM(L141:M143)</f>
        <v>0</v>
      </c>
      <c r="M140" s="513"/>
      <c r="N140" s="512">
        <f t="shared" ref="N140" si="25">SUM(N141:O143)</f>
        <v>0</v>
      </c>
      <c r="O140" s="513"/>
      <c r="P140" s="439"/>
      <c r="Q140" s="440"/>
      <c r="R140" s="219"/>
      <c r="S140" s="198"/>
      <c r="T140" s="198"/>
      <c r="U140" s="504"/>
      <c r="V140" s="504"/>
      <c r="W140" s="504"/>
      <c r="X140" s="504"/>
      <c r="Y140" s="504"/>
      <c r="Z140" s="504"/>
      <c r="AA140" s="505"/>
      <c r="AB140" s="505"/>
      <c r="AC140" s="505"/>
      <c r="AD140" s="161"/>
      <c r="AE140" s="161"/>
      <c r="AF140" s="161"/>
      <c r="AG140" s="161"/>
    </row>
    <row r="141" spans="1:33" ht="18" customHeight="1" x14ac:dyDescent="0.3">
      <c r="A141" s="149"/>
      <c r="B141" s="480" t="s">
        <v>380</v>
      </c>
      <c r="C141" s="562"/>
      <c r="D141" s="562"/>
      <c r="E141" s="562"/>
      <c r="F141" s="481"/>
      <c r="G141" s="344" t="s">
        <v>384</v>
      </c>
      <c r="H141" s="325" t="s">
        <v>486</v>
      </c>
      <c r="I141" s="333"/>
      <c r="J141" s="512"/>
      <c r="K141" s="513"/>
      <c r="L141" s="512"/>
      <c r="M141" s="513"/>
      <c r="N141" s="512"/>
      <c r="O141" s="513"/>
      <c r="P141" s="439"/>
      <c r="Q141" s="440"/>
      <c r="R141" s="219"/>
      <c r="S141" s="198"/>
      <c r="T141" s="198"/>
      <c r="U141" s="504"/>
      <c r="V141" s="504"/>
      <c r="W141" s="504"/>
      <c r="X141" s="504"/>
      <c r="Y141" s="504"/>
      <c r="Z141" s="504"/>
      <c r="AA141" s="505"/>
      <c r="AB141" s="505"/>
      <c r="AC141" s="505"/>
      <c r="AD141" s="161"/>
      <c r="AE141" s="161"/>
      <c r="AF141" s="161"/>
      <c r="AG141" s="161"/>
    </row>
    <row r="142" spans="1:33" ht="18" customHeight="1" x14ac:dyDescent="0.3">
      <c r="A142" s="149"/>
      <c r="B142" s="480" t="s">
        <v>380</v>
      </c>
      <c r="C142" s="562"/>
      <c r="D142" s="562"/>
      <c r="E142" s="562"/>
      <c r="F142" s="481"/>
      <c r="G142" s="344" t="s">
        <v>487</v>
      </c>
      <c r="H142" s="325" t="s">
        <v>573</v>
      </c>
      <c r="I142" s="333"/>
      <c r="J142" s="439"/>
      <c r="K142" s="440"/>
      <c r="L142" s="523"/>
      <c r="M142" s="523"/>
      <c r="N142" s="524"/>
      <c r="O142" s="524"/>
      <c r="P142" s="439"/>
      <c r="Q142" s="440"/>
      <c r="R142" s="219"/>
      <c r="S142" s="198"/>
      <c r="T142" s="198"/>
      <c r="U142" s="504"/>
      <c r="V142" s="504"/>
      <c r="W142" s="504"/>
      <c r="X142" s="504"/>
      <c r="Y142" s="504"/>
      <c r="Z142" s="504"/>
      <c r="AA142" s="505"/>
      <c r="AB142" s="505"/>
      <c r="AC142" s="505"/>
      <c r="AD142" s="161"/>
      <c r="AE142" s="161"/>
      <c r="AF142" s="161"/>
      <c r="AG142" s="161"/>
    </row>
    <row r="143" spans="1:33" ht="18" customHeight="1" x14ac:dyDescent="0.3">
      <c r="A143" s="149"/>
      <c r="B143" s="480" t="s">
        <v>380</v>
      </c>
      <c r="C143" s="562"/>
      <c r="D143" s="562"/>
      <c r="E143" s="562"/>
      <c r="F143" s="481"/>
      <c r="G143" s="344" t="s">
        <v>488</v>
      </c>
      <c r="H143" s="325" t="s">
        <v>598</v>
      </c>
      <c r="I143" s="333"/>
      <c r="J143" s="439"/>
      <c r="K143" s="440"/>
      <c r="L143" s="523"/>
      <c r="M143" s="523"/>
      <c r="N143" s="524"/>
      <c r="O143" s="524"/>
      <c r="P143" s="439"/>
      <c r="Q143" s="440"/>
      <c r="R143" s="219"/>
      <c r="S143" s="198"/>
      <c r="T143" s="198"/>
      <c r="U143" s="504"/>
      <c r="V143" s="504"/>
      <c r="W143" s="504"/>
      <c r="X143" s="504"/>
      <c r="Y143" s="504"/>
      <c r="Z143" s="504"/>
      <c r="AA143" s="505"/>
      <c r="AB143" s="505"/>
      <c r="AC143" s="505"/>
      <c r="AD143" s="163"/>
      <c r="AE143" s="163"/>
      <c r="AF143" s="163"/>
      <c r="AG143" s="163"/>
    </row>
    <row r="144" spans="1:33" ht="15.75" x14ac:dyDescent="0.25">
      <c r="B144" s="132"/>
      <c r="C144" s="132"/>
      <c r="D144" s="133"/>
      <c r="E144" s="133"/>
      <c r="F144" s="133"/>
      <c r="G144" s="133"/>
      <c r="H144" s="133"/>
      <c r="I144" s="133"/>
      <c r="J144" s="529">
        <f>J110-J119-J122-J133-J113</f>
        <v>0</v>
      </c>
      <c r="K144" s="529"/>
      <c r="L144" s="529">
        <f>L110-L119-L122-L133-L113</f>
        <v>0</v>
      </c>
      <c r="M144" s="529"/>
      <c r="N144" s="529">
        <f>N110-N119-N122-N133-N113</f>
        <v>0</v>
      </c>
      <c r="O144" s="529"/>
      <c r="P144" s="302"/>
      <c r="Q144" s="135"/>
      <c r="R144" s="135"/>
      <c r="S144" s="135"/>
      <c r="T144" s="135"/>
      <c r="U144" s="135"/>
      <c r="V144" s="135"/>
      <c r="W144" s="135"/>
      <c r="X144" s="135"/>
      <c r="Y144" s="135"/>
      <c r="Z144" s="135"/>
      <c r="AA144" s="135"/>
      <c r="AB144" s="135"/>
      <c r="AC144" s="136"/>
      <c r="AD144" s="163"/>
      <c r="AE144" s="163"/>
      <c r="AF144" s="163"/>
      <c r="AG144" s="163"/>
    </row>
    <row r="145" spans="2:33" ht="21" customHeight="1" x14ac:dyDescent="0.25">
      <c r="B145" s="131"/>
      <c r="C145" s="131"/>
      <c r="D145" s="197"/>
      <c r="E145" s="197"/>
      <c r="F145" s="197"/>
      <c r="G145" s="197"/>
      <c r="H145" s="197"/>
      <c r="I145" s="164" t="s">
        <v>566</v>
      </c>
      <c r="J145" s="530">
        <f>J110-J113-J140-J136</f>
        <v>0</v>
      </c>
      <c r="K145" s="530"/>
      <c r="L145" s="530">
        <f>L110-L113-L140-L136</f>
        <v>0</v>
      </c>
      <c r="M145" s="530"/>
      <c r="N145" s="530">
        <f>N110-N113-N140-N136</f>
        <v>0</v>
      </c>
      <c r="O145" s="530"/>
      <c r="P145" s="302"/>
      <c r="Q145" s="135"/>
      <c r="R145" s="135"/>
      <c r="S145" s="135"/>
      <c r="T145" s="138"/>
      <c r="U145" s="138"/>
      <c r="V145" s="138"/>
      <c r="W145" s="138"/>
      <c r="X145" s="138"/>
      <c r="Y145" s="138"/>
      <c r="Z145" s="138"/>
      <c r="AA145" s="138"/>
      <c r="AB145" s="138"/>
      <c r="AC145" s="138"/>
      <c r="AD145" s="163"/>
      <c r="AE145" s="163"/>
      <c r="AF145" s="163"/>
      <c r="AG145" s="163"/>
    </row>
    <row r="146" spans="2:33" ht="15.75" x14ac:dyDescent="0.25">
      <c r="B146" s="131"/>
      <c r="C146" s="131"/>
      <c r="D146" s="164"/>
      <c r="E146" s="164"/>
      <c r="F146" s="164"/>
      <c r="G146" s="164"/>
      <c r="H146" s="164"/>
      <c r="I146" s="164"/>
      <c r="J146" s="164"/>
      <c r="K146" s="164"/>
      <c r="L146" s="164"/>
      <c r="M146" s="164"/>
      <c r="N146" s="164"/>
      <c r="O146" s="164"/>
      <c r="P146" s="303"/>
      <c r="Q146" s="164"/>
      <c r="R146" s="135"/>
      <c r="S146" s="135"/>
      <c r="T146" s="138"/>
      <c r="U146" s="138"/>
      <c r="V146" s="138"/>
      <c r="W146" s="138"/>
      <c r="X146" s="138"/>
      <c r="Y146" s="138"/>
      <c r="Z146" s="138"/>
      <c r="AA146" s="138"/>
      <c r="AB146" s="138"/>
      <c r="AC146" s="138"/>
      <c r="AD146" s="163"/>
      <c r="AE146" s="163"/>
      <c r="AF146" s="163"/>
      <c r="AG146" s="163"/>
    </row>
    <row r="147" spans="2:33" ht="15.75" x14ac:dyDescent="0.25">
      <c r="B147" s="163"/>
      <c r="C147" s="163"/>
      <c r="D147" s="526"/>
      <c r="E147" s="526"/>
      <c r="F147" s="526"/>
      <c r="G147" s="526"/>
      <c r="H147" s="526"/>
      <c r="I147" s="526"/>
      <c r="J147" s="526"/>
      <c r="K147" s="526"/>
      <c r="L147" s="166"/>
      <c r="M147" s="166"/>
      <c r="N147" s="166"/>
      <c r="O147" s="166"/>
      <c r="P147" s="301"/>
      <c r="Q147" s="166"/>
      <c r="R147" s="48"/>
      <c r="S147" s="49"/>
      <c r="T147" s="527"/>
      <c r="U147" s="527"/>
      <c r="V147" s="527"/>
      <c r="W147" s="527"/>
      <c r="X147" s="527"/>
      <c r="Y147" s="108"/>
      <c r="Z147" s="108"/>
      <c r="AA147" s="108"/>
      <c r="AB147" s="108"/>
      <c r="AC147" s="108"/>
      <c r="AD147" s="163"/>
      <c r="AE147" s="163"/>
      <c r="AF147" s="163"/>
      <c r="AG147" s="163"/>
    </row>
    <row r="148" spans="2:33" x14ac:dyDescent="0.2">
      <c r="B148" s="163"/>
      <c r="C148" s="163"/>
      <c r="D148" s="163"/>
      <c r="E148" s="163"/>
      <c r="F148" s="163"/>
      <c r="G148" s="163"/>
      <c r="H148" s="163"/>
      <c r="I148" s="48"/>
      <c r="J148" s="48"/>
      <c r="K148" s="49"/>
      <c r="L148" s="49"/>
      <c r="M148" s="49"/>
      <c r="N148" s="49"/>
      <c r="O148" s="49"/>
      <c r="P148" s="49"/>
      <c r="Q148" s="49"/>
      <c r="R148" s="49"/>
      <c r="S148" s="163"/>
      <c r="T148" s="163"/>
      <c r="U148" s="163"/>
      <c r="V148" s="163"/>
      <c r="W148" s="163"/>
      <c r="X148" s="163"/>
      <c r="Y148" s="163"/>
      <c r="Z148" s="163"/>
      <c r="AA148" s="163"/>
      <c r="AB148" s="163"/>
      <c r="AC148" s="163"/>
      <c r="AD148" s="163"/>
      <c r="AE148" s="163"/>
      <c r="AF148" s="163"/>
      <c r="AG148" s="163"/>
    </row>
    <row r="149" spans="2:33" ht="15.75" x14ac:dyDescent="0.25">
      <c r="B149" s="163"/>
      <c r="C149" s="163"/>
      <c r="D149" s="526"/>
      <c r="E149" s="526"/>
      <c r="F149" s="526"/>
      <c r="G149" s="526"/>
      <c r="H149" s="526"/>
      <c r="I149" s="526"/>
      <c r="J149" s="167"/>
      <c r="K149" s="526"/>
      <c r="L149" s="526"/>
      <c r="M149" s="526"/>
      <c r="N149" s="526"/>
      <c r="O149" s="87"/>
      <c r="P149" s="87"/>
      <c r="Q149" s="87"/>
      <c r="R149" s="36"/>
      <c r="S149" s="526"/>
      <c r="T149" s="526"/>
      <c r="U149" s="526"/>
      <c r="V149" s="526"/>
      <c r="W149" s="526"/>
      <c r="X149" s="526"/>
      <c r="Y149" s="165"/>
      <c r="Z149" s="165"/>
      <c r="AA149" s="165"/>
      <c r="AB149" s="165"/>
      <c r="AC149" s="165"/>
      <c r="AD149" s="163"/>
      <c r="AE149" s="163"/>
      <c r="AF149" s="163"/>
      <c r="AG149" s="163"/>
    </row>
    <row r="150" spans="2:33" ht="15" x14ac:dyDescent="0.2">
      <c r="B150" s="163"/>
      <c r="C150" s="163"/>
      <c r="D150" s="163"/>
      <c r="E150" s="163"/>
      <c r="F150" s="163"/>
      <c r="G150" s="163"/>
      <c r="H150" s="163"/>
      <c r="I150" s="163"/>
      <c r="J150" s="163"/>
      <c r="K150" s="527"/>
      <c r="L150" s="527"/>
      <c r="M150" s="527"/>
      <c r="N150" s="527"/>
      <c r="O150" s="54"/>
      <c r="P150" s="54"/>
      <c r="Q150" s="54"/>
      <c r="R150" s="49"/>
      <c r="S150" s="527"/>
      <c r="T150" s="527"/>
      <c r="U150" s="527"/>
      <c r="V150" s="527"/>
      <c r="W150" s="527"/>
      <c r="X150" s="527"/>
      <c r="Y150" s="166"/>
      <c r="Z150" s="166"/>
      <c r="AA150" s="166"/>
      <c r="AB150" s="166"/>
      <c r="AC150" s="166"/>
      <c r="AD150" s="163"/>
      <c r="AE150" s="163"/>
      <c r="AF150" s="163"/>
      <c r="AG150" s="163"/>
    </row>
    <row r="151" spans="2:33" ht="19.5" x14ac:dyDescent="0.3">
      <c r="B151" s="534" t="s">
        <v>593</v>
      </c>
      <c r="C151" s="534"/>
      <c r="D151" s="534" t="s">
        <v>594</v>
      </c>
      <c r="E151" s="534"/>
      <c r="F151" s="188" t="s">
        <v>595</v>
      </c>
      <c r="G151" s="188"/>
      <c r="H151" s="188"/>
      <c r="I151" s="188"/>
      <c r="J151" s="535"/>
      <c r="K151" s="535"/>
      <c r="L151" s="535"/>
      <c r="M151" s="163"/>
      <c r="N151" s="163"/>
      <c r="O151" s="163"/>
      <c r="P151" s="305"/>
      <c r="Q151" s="163"/>
      <c r="R151" s="163"/>
      <c r="S151" s="163"/>
      <c r="T151" s="163"/>
      <c r="U151" s="163"/>
      <c r="V151" s="163"/>
      <c r="W151" s="163"/>
      <c r="X151" s="163"/>
      <c r="Y151" s="163"/>
      <c r="Z151" s="163"/>
      <c r="AA151" s="163"/>
      <c r="AB151" s="163"/>
      <c r="AC151" s="163"/>
      <c r="AD151" s="163"/>
      <c r="AE151" s="163"/>
      <c r="AF151" s="163"/>
      <c r="AG151" s="163"/>
    </row>
    <row r="152" spans="2:33" ht="13.5" thickBot="1" x14ac:dyDescent="0.25">
      <c r="B152" s="163"/>
      <c r="C152" s="163"/>
      <c r="D152" s="163"/>
      <c r="E152" s="163"/>
      <c r="F152" s="163"/>
      <c r="G152" s="163"/>
      <c r="H152" s="163"/>
      <c r="I152" s="163"/>
      <c r="J152" s="163"/>
      <c r="K152" s="163"/>
      <c r="L152" s="163"/>
      <c r="M152" s="163"/>
      <c r="N152" s="163"/>
      <c r="O152" s="163"/>
      <c r="P152" s="305"/>
      <c r="Q152" s="163"/>
      <c r="R152" s="163"/>
      <c r="S152" s="163"/>
      <c r="T152" s="163"/>
      <c r="U152" s="163"/>
      <c r="V152" s="163"/>
      <c r="W152" s="163"/>
      <c r="X152" s="163"/>
      <c r="Y152" s="163"/>
      <c r="Z152" s="163"/>
      <c r="AA152" s="163"/>
      <c r="AB152" s="163"/>
      <c r="AC152" s="163"/>
      <c r="AD152" s="163"/>
      <c r="AE152" s="163"/>
      <c r="AF152" s="163"/>
      <c r="AG152" s="163"/>
    </row>
    <row r="153" spans="2:33" ht="19.5" customHeight="1" x14ac:dyDescent="0.3">
      <c r="B153" s="86"/>
      <c r="C153" s="536" t="s">
        <v>385</v>
      </c>
      <c r="D153" s="537"/>
      <c r="E153" s="537"/>
      <c r="F153" s="537"/>
      <c r="G153" s="537"/>
      <c r="H153" s="187"/>
      <c r="I153" s="192"/>
      <c r="J153" s="192"/>
      <c r="K153" s="192"/>
      <c r="L153" s="192"/>
      <c r="M153" s="192"/>
      <c r="N153" s="192"/>
      <c r="O153" s="192"/>
      <c r="P153" s="192"/>
      <c r="Q153" s="110"/>
      <c r="R153" s="163"/>
      <c r="S153" s="163"/>
      <c r="T153" s="163"/>
      <c r="U153" s="163"/>
      <c r="V153" s="163"/>
      <c r="W153" s="163"/>
      <c r="X153" s="163"/>
      <c r="Y153" s="163"/>
      <c r="Z153" s="163"/>
      <c r="AA153" s="163"/>
      <c r="AB153" s="163"/>
      <c r="AC153" s="163"/>
      <c r="AD153" s="163"/>
      <c r="AE153" s="163"/>
      <c r="AF153" s="163"/>
      <c r="AG153" s="163"/>
    </row>
    <row r="154" spans="2:33" ht="46.5" customHeight="1" x14ac:dyDescent="0.3">
      <c r="B154" s="86"/>
      <c r="C154" s="538" t="s">
        <v>475</v>
      </c>
      <c r="D154" s="539"/>
      <c r="E154" s="539"/>
      <c r="F154" s="539"/>
      <c r="G154" s="539"/>
      <c r="H154" s="540"/>
      <c r="I154" s="194"/>
      <c r="J154" s="194"/>
      <c r="K154" s="194"/>
      <c r="L154" s="194"/>
      <c r="M154" s="194"/>
      <c r="N154" s="194"/>
      <c r="O154" s="194"/>
      <c r="P154" s="194"/>
      <c r="Q154" s="111"/>
      <c r="R154" s="163"/>
      <c r="S154" s="163"/>
      <c r="T154" s="163"/>
      <c r="U154" s="163"/>
      <c r="V154" s="163"/>
      <c r="W154" s="163"/>
      <c r="X154" s="163"/>
      <c r="Y154" s="163"/>
      <c r="Z154" s="163"/>
      <c r="AA154" s="163"/>
      <c r="AB154" s="163"/>
      <c r="AC154" s="163"/>
      <c r="AD154" s="163"/>
      <c r="AE154" s="163"/>
      <c r="AF154" s="163"/>
      <c r="AG154" s="163"/>
    </row>
    <row r="155" spans="2:33" ht="15.75" customHeight="1" x14ac:dyDescent="0.2">
      <c r="B155" s="50"/>
      <c r="C155" s="541" t="s">
        <v>386</v>
      </c>
      <c r="D155" s="533"/>
      <c r="E155" s="533"/>
      <c r="F155" s="533"/>
      <c r="G155" s="533"/>
      <c r="H155" s="542"/>
      <c r="I155" s="50"/>
      <c r="J155" s="50"/>
      <c r="K155" s="50"/>
      <c r="L155" s="50"/>
      <c r="M155" s="50"/>
      <c r="N155" s="50"/>
      <c r="O155" s="50"/>
      <c r="P155" s="50"/>
      <c r="Q155" s="52"/>
      <c r="R155" s="163"/>
      <c r="S155" s="163"/>
      <c r="T155" s="163"/>
      <c r="U155" s="163"/>
      <c r="V155" s="163"/>
      <c r="W155" s="163"/>
      <c r="X155" s="163"/>
      <c r="Y155" s="163"/>
      <c r="Z155" s="163"/>
      <c r="AA155" s="163"/>
      <c r="AB155" s="163"/>
      <c r="AC155" s="163"/>
      <c r="AD155" s="163"/>
      <c r="AE155" s="163"/>
      <c r="AF155" s="163"/>
      <c r="AG155" s="163"/>
    </row>
    <row r="156" spans="2:33" ht="35.25" customHeight="1" x14ac:dyDescent="0.25">
      <c r="B156" s="50"/>
      <c r="C156" s="196"/>
      <c r="D156" s="195"/>
      <c r="E156" s="195"/>
      <c r="F156" s="50"/>
      <c r="G156" s="543"/>
      <c r="H156" s="544"/>
      <c r="I156" s="87"/>
      <c r="J156" s="87"/>
      <c r="K156" s="87"/>
      <c r="L156" s="87"/>
      <c r="M156" s="87"/>
      <c r="N156" s="87"/>
      <c r="O156" s="87"/>
      <c r="P156" s="87"/>
      <c r="Q156" s="165"/>
      <c r="R156" s="163"/>
      <c r="S156" s="163"/>
      <c r="T156" s="163"/>
      <c r="U156" s="163"/>
      <c r="V156" s="163"/>
      <c r="W156" s="163"/>
      <c r="X156" s="163"/>
      <c r="Y156" s="163"/>
      <c r="Z156" s="163"/>
      <c r="AA156" s="163"/>
      <c r="AB156" s="163"/>
      <c r="AC156" s="163"/>
      <c r="AD156" s="163"/>
      <c r="AE156" s="163"/>
      <c r="AF156" s="163"/>
      <c r="AG156" s="163"/>
    </row>
    <row r="157" spans="2:33" ht="15.75" customHeight="1" x14ac:dyDescent="0.2">
      <c r="B157" s="50"/>
      <c r="C157" s="532" t="s">
        <v>159</v>
      </c>
      <c r="D157" s="533"/>
      <c r="E157" s="533"/>
      <c r="F157" s="434"/>
      <c r="G157" s="434" t="s">
        <v>160</v>
      </c>
      <c r="H157" s="545"/>
      <c r="I157" s="50"/>
      <c r="J157" s="50"/>
      <c r="K157" s="50"/>
      <c r="L157" s="50"/>
      <c r="M157" s="50"/>
      <c r="N157" s="50"/>
      <c r="O157" s="50"/>
      <c r="P157" s="50"/>
      <c r="Q157" s="52"/>
      <c r="R157" s="163"/>
      <c r="S157" s="163"/>
      <c r="T157" s="163"/>
      <c r="U157" s="163"/>
      <c r="V157" s="163"/>
      <c r="W157" s="163"/>
      <c r="X157" s="163"/>
      <c r="Y157" s="163"/>
      <c r="Z157" s="163"/>
      <c r="AA157" s="163"/>
      <c r="AB157" s="163"/>
      <c r="AC157" s="163"/>
      <c r="AD157" s="163"/>
      <c r="AE157" s="163"/>
      <c r="AF157" s="163"/>
      <c r="AG157" s="163"/>
    </row>
    <row r="158" spans="2:33" ht="19.5" x14ac:dyDescent="0.3">
      <c r="B158" s="36"/>
      <c r="C158" s="290"/>
      <c r="D158" s="291" t="s">
        <v>597</v>
      </c>
      <c r="E158" s="531" t="s">
        <v>596</v>
      </c>
      <c r="F158" s="531"/>
      <c r="G158" s="189" t="s">
        <v>595</v>
      </c>
      <c r="H158" s="191"/>
      <c r="I158" s="189"/>
      <c r="J158" s="190"/>
      <c r="K158" s="190"/>
      <c r="L158" s="163"/>
      <c r="M158" s="163"/>
      <c r="N158" s="163"/>
      <c r="O158" s="163"/>
      <c r="P158" s="305"/>
      <c r="Q158" s="163"/>
      <c r="R158" s="163"/>
      <c r="S158" s="163"/>
      <c r="T158" s="163"/>
      <c r="U158" s="163"/>
      <c r="V158" s="163"/>
      <c r="W158" s="163"/>
      <c r="X158" s="163"/>
      <c r="Y158" s="163"/>
      <c r="Z158" s="163"/>
      <c r="AA158" s="163"/>
      <c r="AB158" s="163"/>
      <c r="AC158" s="163"/>
      <c r="AD158" s="163"/>
      <c r="AE158" s="163"/>
      <c r="AF158" s="163"/>
      <c r="AG158" s="163"/>
    </row>
    <row r="159" spans="2:33" ht="13.5" thickBot="1" x14ac:dyDescent="0.25">
      <c r="B159" s="163"/>
      <c r="C159" s="546"/>
      <c r="D159" s="547"/>
      <c r="E159" s="547"/>
      <c r="F159" s="547"/>
      <c r="G159" s="547"/>
      <c r="H159" s="548"/>
      <c r="I159" s="36"/>
      <c r="J159" s="36"/>
      <c r="K159" s="36"/>
      <c r="L159" s="36"/>
      <c r="M159" s="36"/>
      <c r="N159" s="36"/>
      <c r="O159" s="36"/>
      <c r="P159" s="36"/>
      <c r="Q159" s="39"/>
      <c r="R159" s="163"/>
      <c r="S159" s="163"/>
      <c r="T159" s="163"/>
      <c r="U159" s="163"/>
      <c r="V159" s="163"/>
      <c r="W159" s="163"/>
      <c r="X159" s="163"/>
      <c r="Y159" s="163"/>
      <c r="Z159" s="163"/>
      <c r="AA159" s="163"/>
      <c r="AB159" s="163"/>
      <c r="AC159" s="163"/>
      <c r="AD159" s="163"/>
      <c r="AE159" s="163"/>
      <c r="AF159" s="163"/>
      <c r="AG159" s="163"/>
    </row>
    <row r="160" spans="2:33" x14ac:dyDescent="0.2">
      <c r="B160" s="163"/>
      <c r="C160" s="39"/>
      <c r="D160" s="39"/>
      <c r="E160" s="39"/>
      <c r="F160" s="39"/>
      <c r="G160" s="39"/>
      <c r="H160" s="39"/>
      <c r="I160" s="193"/>
      <c r="J160" s="193"/>
      <c r="K160" s="193"/>
      <c r="L160" s="193"/>
      <c r="M160" s="193"/>
      <c r="N160" s="193"/>
      <c r="O160" s="193"/>
      <c r="P160" s="193"/>
      <c r="Q160" s="39"/>
      <c r="R160" s="163"/>
      <c r="S160" s="163"/>
      <c r="T160" s="163"/>
      <c r="U160" s="163"/>
      <c r="V160" s="163"/>
      <c r="W160" s="163"/>
      <c r="X160" s="163"/>
      <c r="Y160" s="163"/>
      <c r="Z160" s="163"/>
      <c r="AA160" s="163"/>
      <c r="AB160" s="163"/>
      <c r="AC160" s="163"/>
      <c r="AD160" s="163"/>
      <c r="AE160" s="163"/>
      <c r="AF160" s="163"/>
      <c r="AG160" s="163"/>
    </row>
    <row r="161" spans="2:33" ht="12.75" customHeight="1" x14ac:dyDescent="0.2">
      <c r="B161" s="528" t="s">
        <v>398</v>
      </c>
      <c r="C161" s="528"/>
      <c r="D161" s="528"/>
      <c r="E161" s="528"/>
      <c r="F161" s="528"/>
      <c r="G161" s="528"/>
      <c r="H161" s="528"/>
      <c r="I161" s="528"/>
      <c r="J161" s="528"/>
      <c r="K161" s="528"/>
      <c r="L161" s="528"/>
      <c r="M161" s="528"/>
      <c r="N161" s="528"/>
      <c r="O161" s="528"/>
      <c r="P161" s="528"/>
      <c r="Q161" s="528"/>
      <c r="R161" s="186"/>
      <c r="S161" s="186"/>
      <c r="T161" s="186"/>
      <c r="U161" s="186"/>
      <c r="V161" s="186"/>
      <c r="W161" s="186"/>
      <c r="X161" s="186"/>
      <c r="Y161" s="186"/>
      <c r="Z161" s="186"/>
      <c r="AA161" s="186"/>
      <c r="AB161" s="186"/>
      <c r="AC161" s="186"/>
      <c r="AD161" s="163"/>
      <c r="AE161" s="163"/>
      <c r="AF161" s="163"/>
      <c r="AG161" s="163"/>
    </row>
    <row r="162" spans="2:33" ht="12.75" customHeight="1" x14ac:dyDescent="0.2">
      <c r="B162" s="528" t="s">
        <v>387</v>
      </c>
      <c r="C162" s="528"/>
      <c r="D162" s="528"/>
      <c r="E162" s="528"/>
      <c r="F162" s="528"/>
      <c r="G162" s="528"/>
      <c r="H162" s="528"/>
      <c r="I162" s="528"/>
      <c r="J162" s="528"/>
      <c r="K162" s="528"/>
      <c r="L162" s="528"/>
      <c r="M162" s="528"/>
      <c r="N162" s="528"/>
      <c r="O162" s="528"/>
      <c r="P162" s="528"/>
      <c r="Q162" s="528"/>
      <c r="R162" s="186"/>
      <c r="S162" s="186"/>
      <c r="T162" s="186"/>
      <c r="U162" s="186"/>
      <c r="V162" s="186"/>
      <c r="W162" s="186"/>
      <c r="X162" s="186"/>
      <c r="Y162" s="186"/>
      <c r="Z162" s="186"/>
      <c r="AA162" s="186"/>
      <c r="AB162" s="186"/>
      <c r="AC162" s="186"/>
      <c r="AD162" s="163"/>
      <c r="AE162" s="163"/>
      <c r="AF162" s="163"/>
      <c r="AG162" s="163"/>
    </row>
    <row r="163" spans="2:33" ht="12.75" customHeight="1" x14ac:dyDescent="0.2">
      <c r="B163" s="528" t="s">
        <v>604</v>
      </c>
      <c r="C163" s="528"/>
      <c r="D163" s="528"/>
      <c r="E163" s="528"/>
      <c r="F163" s="528"/>
      <c r="G163" s="528"/>
      <c r="H163" s="528"/>
      <c r="I163" s="528"/>
      <c r="J163" s="528"/>
      <c r="K163" s="528"/>
      <c r="L163" s="528"/>
      <c r="M163" s="528"/>
      <c r="N163" s="528"/>
      <c r="O163" s="528"/>
      <c r="P163" s="528"/>
      <c r="Q163" s="528"/>
      <c r="R163" s="186"/>
      <c r="S163" s="186"/>
      <c r="T163" s="186"/>
      <c r="U163" s="186"/>
      <c r="V163" s="186"/>
      <c r="W163" s="186"/>
      <c r="X163" s="186"/>
      <c r="Y163" s="186"/>
      <c r="Z163" s="186"/>
      <c r="AA163" s="186"/>
      <c r="AB163" s="186"/>
      <c r="AC163" s="186"/>
      <c r="AD163" s="163"/>
      <c r="AE163" s="163"/>
      <c r="AF163" s="163"/>
      <c r="AG163" s="163"/>
    </row>
    <row r="164" spans="2:33" ht="12.75" customHeight="1" x14ac:dyDescent="0.2">
      <c r="B164" s="528" t="s">
        <v>389</v>
      </c>
      <c r="C164" s="528"/>
      <c r="D164" s="528"/>
      <c r="E164" s="528"/>
      <c r="F164" s="528"/>
      <c r="G164" s="528"/>
      <c r="H164" s="528"/>
      <c r="I164" s="528"/>
      <c r="J164" s="528"/>
      <c r="K164" s="528"/>
      <c r="L164" s="528"/>
      <c r="M164" s="528"/>
      <c r="N164" s="528"/>
      <c r="O164" s="528"/>
      <c r="P164" s="528"/>
      <c r="Q164" s="528"/>
      <c r="R164" s="186"/>
      <c r="S164" s="186"/>
      <c r="T164" s="186"/>
      <c r="U164" s="186"/>
      <c r="V164" s="186"/>
      <c r="W164" s="186"/>
      <c r="X164" s="186"/>
      <c r="Y164" s="186"/>
      <c r="Z164" s="186"/>
      <c r="AA164" s="186"/>
      <c r="AB164" s="186"/>
      <c r="AC164" s="186"/>
      <c r="AD164" s="163"/>
      <c r="AE164" s="163"/>
      <c r="AF164" s="163"/>
      <c r="AG164" s="163"/>
    </row>
    <row r="165" spans="2:33" ht="12.75" customHeight="1" x14ac:dyDescent="0.2">
      <c r="B165" s="528" t="s">
        <v>390</v>
      </c>
      <c r="C165" s="528"/>
      <c r="D165" s="528"/>
      <c r="E165" s="528"/>
      <c r="F165" s="528"/>
      <c r="G165" s="528"/>
      <c r="H165" s="528"/>
      <c r="I165" s="528"/>
      <c r="J165" s="528"/>
      <c r="K165" s="528"/>
      <c r="L165" s="528"/>
      <c r="M165" s="528"/>
      <c r="N165" s="528"/>
      <c r="O165" s="528"/>
      <c r="P165" s="528"/>
      <c r="Q165" s="528"/>
      <c r="R165" s="186"/>
      <c r="S165" s="186"/>
      <c r="T165" s="186"/>
      <c r="U165" s="186"/>
      <c r="V165" s="186"/>
      <c r="W165" s="186"/>
      <c r="X165" s="186"/>
      <c r="Y165" s="186"/>
      <c r="Z165" s="186"/>
      <c r="AA165" s="186"/>
      <c r="AB165" s="186"/>
      <c r="AC165" s="186"/>
      <c r="AD165" s="163"/>
      <c r="AE165" s="163"/>
      <c r="AF165" s="163"/>
      <c r="AG165" s="163"/>
    </row>
    <row r="166" spans="2:33" ht="12.75" customHeight="1" x14ac:dyDescent="0.2">
      <c r="B166" s="528" t="s">
        <v>391</v>
      </c>
      <c r="C166" s="528"/>
      <c r="D166" s="528"/>
      <c r="E166" s="528"/>
      <c r="F166" s="528"/>
      <c r="G166" s="528"/>
      <c r="H166" s="528"/>
      <c r="I166" s="528"/>
      <c r="J166" s="528"/>
      <c r="K166" s="528"/>
      <c r="L166" s="528"/>
      <c r="M166" s="528"/>
      <c r="N166" s="528"/>
      <c r="O166" s="528"/>
      <c r="P166" s="528"/>
      <c r="Q166" s="528"/>
      <c r="R166" s="186"/>
      <c r="S166" s="186"/>
      <c r="T166" s="186"/>
      <c r="U166" s="186"/>
      <c r="V166" s="186"/>
      <c r="W166" s="186"/>
      <c r="X166" s="186"/>
      <c r="Y166" s="186"/>
      <c r="Z166" s="186"/>
      <c r="AA166" s="186"/>
      <c r="AB166" s="186"/>
      <c r="AC166" s="186"/>
      <c r="AD166" s="163"/>
      <c r="AE166" s="163"/>
      <c r="AF166" s="163"/>
      <c r="AG166" s="163"/>
    </row>
    <row r="167" spans="2:33" ht="12.75" customHeight="1" x14ac:dyDescent="0.2">
      <c r="B167" s="528" t="s">
        <v>392</v>
      </c>
      <c r="C167" s="528"/>
      <c r="D167" s="528"/>
      <c r="E167" s="528"/>
      <c r="F167" s="528"/>
      <c r="G167" s="528"/>
      <c r="H167" s="528"/>
      <c r="I167" s="528"/>
      <c r="J167" s="528"/>
      <c r="K167" s="528"/>
      <c r="L167" s="528"/>
      <c r="M167" s="528"/>
      <c r="N167" s="528"/>
      <c r="O167" s="528"/>
      <c r="P167" s="528"/>
      <c r="Q167" s="528"/>
      <c r="R167" s="186"/>
      <c r="S167" s="186"/>
      <c r="T167" s="186"/>
      <c r="U167" s="186"/>
      <c r="V167" s="186"/>
      <c r="W167" s="186"/>
      <c r="X167" s="186"/>
      <c r="Y167" s="186"/>
      <c r="Z167" s="186"/>
      <c r="AA167" s="186"/>
      <c r="AB167" s="186"/>
      <c r="AC167" s="186"/>
      <c r="AD167" s="163"/>
      <c r="AE167" s="163"/>
      <c r="AF167" s="163"/>
      <c r="AG167" s="163"/>
    </row>
  </sheetData>
  <customSheetViews>
    <customSheetView guid="{DC13F25B-CAA7-4E25-AFF1-0DCF9AD75BDE}" scale="70" showPageBreaks="1" fitToPage="1" printArea="1" view="pageBreakPreview">
      <selection activeCell="G14" sqref="G14"/>
      <pageMargins left="0.23622047244094491" right="0.23622047244094491" top="0.19685039370078741" bottom="0.19685039370078741" header="0" footer="0"/>
      <printOptions horizontalCentered="1"/>
      <pageSetup paperSize="9" scale="45" firstPageNumber="15" fitToWidth="0" fitToHeight="2" orientation="portrait" useFirstPageNumber="1" r:id="rId1"/>
      <headerFooter alignWithMargins="0"/>
    </customSheetView>
    <customSheetView guid="{6AD2622C-AF85-4997-AA93-A54C85AD6D68}" scale="75" showPageBreaks="1" printArea="1" view="pageBreakPreview" topLeftCell="A25">
      <selection activeCell="G42" sqref="G42"/>
      <rowBreaks count="4" manualBreakCount="4">
        <brk id="23" min="1" max="14" man="1"/>
        <brk id="52" max="14" man="1"/>
        <brk id="77" max="14" man="1"/>
        <brk id="108" max="14" man="1"/>
      </rowBreaks>
      <pageMargins left="0.59055118110236227" right="0.51181102362204722" top="1.1811023622047245" bottom="0.39370078740157483" header="0.19685039370078741" footer="0.19685039370078741"/>
      <printOptions horizontalCentered="1"/>
      <pageSetup paperSize="9" scale="73" firstPageNumber="15" fitToHeight="15" orientation="landscape" useFirstPageNumber="1" r:id="rId2"/>
      <headerFooter alignWithMargins="0">
        <oddHeader>&amp;C&amp;"Times New Roman,обычный"&amp;12&amp;P</oddHeader>
      </headerFooter>
    </customSheetView>
    <customSheetView guid="{C88A4605-0F8D-4713-9317-AF13632C8FA6}" scale="75" showPageBreaks="1" printArea="1" view="pageBreakPreview" topLeftCell="A76">
      <selection activeCell="M94" sqref="M94"/>
      <rowBreaks count="4" manualBreakCount="4">
        <brk id="23" min="1" max="14" man="1"/>
        <brk id="52" max="14" man="1"/>
        <brk id="77" max="14" man="1"/>
        <brk id="109" max="14" man="1"/>
      </rowBreaks>
      <pageMargins left="0.59055118110236227" right="0.51181102362204722" top="1.1811023622047245" bottom="0.39370078740157483" header="0.19685039370078741" footer="0.19685039370078741"/>
      <printOptions horizontalCentered="1"/>
      <pageSetup paperSize="9" scale="73" firstPageNumber="15" fitToHeight="15" orientation="landscape" useFirstPageNumber="1" r:id="rId3"/>
      <headerFooter alignWithMargins="0">
        <oddHeader>&amp;C&amp;"Times New Roman,обычный"&amp;12&amp;P</oddHeader>
      </headerFooter>
    </customSheetView>
    <customSheetView guid="{84CC8968-6D7C-41C4-B973-ECD381BB63FC}" scale="70" showPageBreaks="1" fitToPage="1" printArea="1" view="pageBreakPreview" topLeftCell="A37">
      <selection activeCell="L64" sqref="L64"/>
      <pageMargins left="0.23622047244094491" right="0.23622047244094491" top="0.19685039370078741" bottom="0.19685039370078741" header="0" footer="0"/>
      <printOptions horizontalCentered="1"/>
      <pageSetup paperSize="9" scale="45" firstPageNumber="15" fitToWidth="0" fitToHeight="2" orientation="portrait" useFirstPageNumber="1" r:id="rId4"/>
      <headerFooter alignWithMargins="0"/>
    </customSheetView>
    <customSheetView guid="{C47F8591-E97A-4739-B299-8B7B5E22A2DD}" scale="70" showPageBreaks="1" fitToPage="1" printArea="1" view="pageBreakPreview" topLeftCell="A132">
      <selection activeCell="M166" sqref="M166"/>
      <pageMargins left="0.23622047244094491" right="0.23622047244094491" top="0.19685039370078741" bottom="0.19685039370078741" header="0" footer="0"/>
      <printOptions horizontalCentered="1"/>
      <pageSetup paperSize="9" scale="45" firstPageNumber="15" fitToWidth="0" fitToHeight="2" orientation="portrait" useFirstPageNumber="1" r:id="rId5"/>
      <headerFooter alignWithMargins="0"/>
    </customSheetView>
  </customSheetViews>
  <mergeCells count="492">
    <mergeCell ref="J131:K131"/>
    <mergeCell ref="J134:K134"/>
    <mergeCell ref="J133:K133"/>
    <mergeCell ref="B136:F136"/>
    <mergeCell ref="B137:F137"/>
    <mergeCell ref="B138:F138"/>
    <mergeCell ref="B139:F139"/>
    <mergeCell ref="J135:K135"/>
    <mergeCell ref="J139:K139"/>
    <mergeCell ref="J132:K132"/>
    <mergeCell ref="B133:F133"/>
    <mergeCell ref="B134:F134"/>
    <mergeCell ref="B135:F135"/>
    <mergeCell ref="J141:K141"/>
    <mergeCell ref="J137:K137"/>
    <mergeCell ref="J136:K136"/>
    <mergeCell ref="B140:F140"/>
    <mergeCell ref="B141:F141"/>
    <mergeCell ref="B142:F142"/>
    <mergeCell ref="B143:F143"/>
    <mergeCell ref="J125:K125"/>
    <mergeCell ref="J128:K128"/>
    <mergeCell ref="J129:K129"/>
    <mergeCell ref="J130:K130"/>
    <mergeCell ref="J127:K127"/>
    <mergeCell ref="J126:K126"/>
    <mergeCell ref="B125:F125"/>
    <mergeCell ref="B126:F126"/>
    <mergeCell ref="B127:F127"/>
    <mergeCell ref="B128:F128"/>
    <mergeCell ref="B129:F129"/>
    <mergeCell ref="B130:F130"/>
    <mergeCell ref="J142:K142"/>
    <mergeCell ref="J140:K140"/>
    <mergeCell ref="J138:K138"/>
    <mergeCell ref="B131:F131"/>
    <mergeCell ref="B132:F132"/>
    <mergeCell ref="B124:F124"/>
    <mergeCell ref="B106:F108"/>
    <mergeCell ref="G106:G108"/>
    <mergeCell ref="B109:F109"/>
    <mergeCell ref="B110:F110"/>
    <mergeCell ref="B111:F111"/>
    <mergeCell ref="B112:F112"/>
    <mergeCell ref="B113:F113"/>
    <mergeCell ref="B114:F114"/>
    <mergeCell ref="B115:F115"/>
    <mergeCell ref="B116:F116"/>
    <mergeCell ref="B117:F117"/>
    <mergeCell ref="B118:F118"/>
    <mergeCell ref="B119:F119"/>
    <mergeCell ref="B120:F120"/>
    <mergeCell ref="B121:F121"/>
    <mergeCell ref="B122:F122"/>
    <mergeCell ref="B123:F123"/>
    <mergeCell ref="B165:Q165"/>
    <mergeCell ref="B166:Q166"/>
    <mergeCell ref="B167:Q167"/>
    <mergeCell ref="C157:F157"/>
    <mergeCell ref="D149:I149"/>
    <mergeCell ref="K149:N149"/>
    <mergeCell ref="S149:X149"/>
    <mergeCell ref="K150:N150"/>
    <mergeCell ref="S150:X150"/>
    <mergeCell ref="D151:E151"/>
    <mergeCell ref="J151:L151"/>
    <mergeCell ref="B151:C151"/>
    <mergeCell ref="B161:Q161"/>
    <mergeCell ref="B162:Q162"/>
    <mergeCell ref="B163:Q163"/>
    <mergeCell ref="C153:G153"/>
    <mergeCell ref="C154:H154"/>
    <mergeCell ref="C155:H155"/>
    <mergeCell ref="G156:H156"/>
    <mergeCell ref="G157:H157"/>
    <mergeCell ref="C159:H159"/>
    <mergeCell ref="L143:M143"/>
    <mergeCell ref="N143:O143"/>
    <mergeCell ref="U143:W143"/>
    <mergeCell ref="X143:Z143"/>
    <mergeCell ref="AA143:AC143"/>
    <mergeCell ref="D147:K147"/>
    <mergeCell ref="T147:X147"/>
    <mergeCell ref="J143:K143"/>
    <mergeCell ref="B164:Q164"/>
    <mergeCell ref="J144:K144"/>
    <mergeCell ref="L144:M144"/>
    <mergeCell ref="N144:O144"/>
    <mergeCell ref="J145:K145"/>
    <mergeCell ref="L145:M145"/>
    <mergeCell ref="N145:O145"/>
    <mergeCell ref="E158:F158"/>
    <mergeCell ref="P143:Q143"/>
    <mergeCell ref="AE138:AG138"/>
    <mergeCell ref="L139:M139"/>
    <mergeCell ref="N139:O139"/>
    <mergeCell ref="U139:W139"/>
    <mergeCell ref="X139:Z139"/>
    <mergeCell ref="AA139:AC139"/>
    <mergeCell ref="L140:M140"/>
    <mergeCell ref="N140:O140"/>
    <mergeCell ref="U140:W140"/>
    <mergeCell ref="X140:Z140"/>
    <mergeCell ref="AA140:AC140"/>
    <mergeCell ref="L141:M141"/>
    <mergeCell ref="N141:O141"/>
    <mergeCell ref="U141:W141"/>
    <mergeCell ref="X141:Z141"/>
    <mergeCell ref="AA141:AC141"/>
    <mergeCell ref="L142:M142"/>
    <mergeCell ref="N142:O142"/>
    <mergeCell ref="U142:W142"/>
    <mergeCell ref="X142:Z142"/>
    <mergeCell ref="AA142:AC142"/>
    <mergeCell ref="P141:Q141"/>
    <mergeCell ref="P142:Q142"/>
    <mergeCell ref="L135:M135"/>
    <mergeCell ref="N135:O135"/>
    <mergeCell ref="U135:W135"/>
    <mergeCell ref="X135:Z135"/>
    <mergeCell ref="AA135:AC135"/>
    <mergeCell ref="L136:M136"/>
    <mergeCell ref="N136:O136"/>
    <mergeCell ref="U136:W136"/>
    <mergeCell ref="X136:Z136"/>
    <mergeCell ref="AA136:AC136"/>
    <mergeCell ref="P135:Q135"/>
    <mergeCell ref="P136:Q136"/>
    <mergeCell ref="L137:M137"/>
    <mergeCell ref="N137:O137"/>
    <mergeCell ref="R137:T137"/>
    <mergeCell ref="U137:W137"/>
    <mergeCell ref="X137:Z137"/>
    <mergeCell ref="AA137:AC137"/>
    <mergeCell ref="L138:M138"/>
    <mergeCell ref="N138:O138"/>
    <mergeCell ref="U138:W138"/>
    <mergeCell ref="X138:Z138"/>
    <mergeCell ref="AA138:AC138"/>
    <mergeCell ref="P137:Q137"/>
    <mergeCell ref="P138:Q138"/>
    <mergeCell ref="L133:M133"/>
    <mergeCell ref="N133:O133"/>
    <mergeCell ref="U133:W133"/>
    <mergeCell ref="X133:Z133"/>
    <mergeCell ref="AA133:AC133"/>
    <mergeCell ref="L134:M134"/>
    <mergeCell ref="N134:O134"/>
    <mergeCell ref="U134:W134"/>
    <mergeCell ref="X134:Z134"/>
    <mergeCell ref="AA134:AC134"/>
    <mergeCell ref="P133:Q133"/>
    <mergeCell ref="P134:Q134"/>
    <mergeCell ref="L131:M131"/>
    <mergeCell ref="N131:O131"/>
    <mergeCell ref="U131:W131"/>
    <mergeCell ref="X131:Z131"/>
    <mergeCell ref="AA131:AC131"/>
    <mergeCell ref="L132:M132"/>
    <mergeCell ref="N132:O132"/>
    <mergeCell ref="U132:W132"/>
    <mergeCell ref="X132:Z132"/>
    <mergeCell ref="AA132:AC132"/>
    <mergeCell ref="P131:Q131"/>
    <mergeCell ref="P132:Q132"/>
    <mergeCell ref="L130:M130"/>
    <mergeCell ref="N130:O130"/>
    <mergeCell ref="U130:W130"/>
    <mergeCell ref="X130:Z130"/>
    <mergeCell ref="AA130:AC130"/>
    <mergeCell ref="L128:M128"/>
    <mergeCell ref="N128:O128"/>
    <mergeCell ref="U128:W128"/>
    <mergeCell ref="X128:Z128"/>
    <mergeCell ref="AA128:AC128"/>
    <mergeCell ref="L129:M129"/>
    <mergeCell ref="N129:O129"/>
    <mergeCell ref="U129:W129"/>
    <mergeCell ref="X129:Z129"/>
    <mergeCell ref="AA129:AC129"/>
    <mergeCell ref="P128:Q128"/>
    <mergeCell ref="P129:Q129"/>
    <mergeCell ref="P130:Q130"/>
    <mergeCell ref="L125:M125"/>
    <mergeCell ref="U125:W125"/>
    <mergeCell ref="X125:Z125"/>
    <mergeCell ref="AA125:AC125"/>
    <mergeCell ref="N125:O125"/>
    <mergeCell ref="L127:M127"/>
    <mergeCell ref="N127:O127"/>
    <mergeCell ref="U127:W127"/>
    <mergeCell ref="X127:Z127"/>
    <mergeCell ref="AA127:AC127"/>
    <mergeCell ref="P127:Q127"/>
    <mergeCell ref="P125:Q125"/>
    <mergeCell ref="L126:M126"/>
    <mergeCell ref="N126:O126"/>
    <mergeCell ref="J124:K124"/>
    <mergeCell ref="J123:K123"/>
    <mergeCell ref="L121:M121"/>
    <mergeCell ref="N121:O121"/>
    <mergeCell ref="U121:W121"/>
    <mergeCell ref="X121:Z121"/>
    <mergeCell ref="AA121:AC121"/>
    <mergeCell ref="L122:M122"/>
    <mergeCell ref="N122:O122"/>
    <mergeCell ref="U122:W122"/>
    <mergeCell ref="X122:Z122"/>
    <mergeCell ref="AA122:AC122"/>
    <mergeCell ref="J121:K121"/>
    <mergeCell ref="J122:K122"/>
    <mergeCell ref="L123:M123"/>
    <mergeCell ref="N123:O123"/>
    <mergeCell ref="U123:W123"/>
    <mergeCell ref="X123:Z123"/>
    <mergeCell ref="AA123:AC123"/>
    <mergeCell ref="L124:M124"/>
    <mergeCell ref="N124:O124"/>
    <mergeCell ref="U124:W124"/>
    <mergeCell ref="X124:Z124"/>
    <mergeCell ref="AA124:AC124"/>
    <mergeCell ref="J119:K119"/>
    <mergeCell ref="J120:K120"/>
    <mergeCell ref="N117:O117"/>
    <mergeCell ref="U117:W117"/>
    <mergeCell ref="X117:Z117"/>
    <mergeCell ref="AA117:AC117"/>
    <mergeCell ref="L118:M118"/>
    <mergeCell ref="N118:O118"/>
    <mergeCell ref="U118:W118"/>
    <mergeCell ref="X118:Z118"/>
    <mergeCell ref="AA118:AC118"/>
    <mergeCell ref="J118:K118"/>
    <mergeCell ref="L119:M119"/>
    <mergeCell ref="N119:O119"/>
    <mergeCell ref="U119:W119"/>
    <mergeCell ref="X119:Z119"/>
    <mergeCell ref="AA119:AC119"/>
    <mergeCell ref="L120:M120"/>
    <mergeCell ref="N120:O120"/>
    <mergeCell ref="U120:W120"/>
    <mergeCell ref="X120:Z120"/>
    <mergeCell ref="AA120:AC120"/>
    <mergeCell ref="J117:K117"/>
    <mergeCell ref="L117:M117"/>
    <mergeCell ref="N115:O115"/>
    <mergeCell ref="N116:O116"/>
    <mergeCell ref="L113:M113"/>
    <mergeCell ref="N113:O113"/>
    <mergeCell ref="L114:M114"/>
    <mergeCell ref="N114:O114"/>
    <mergeCell ref="J113:K113"/>
    <mergeCell ref="J114:K114"/>
    <mergeCell ref="J116:K116"/>
    <mergeCell ref="L116:M116"/>
    <mergeCell ref="J115:K115"/>
    <mergeCell ref="L111:M111"/>
    <mergeCell ref="N111:O111"/>
    <mergeCell ref="L112:M112"/>
    <mergeCell ref="N112:O112"/>
    <mergeCell ref="J111:K111"/>
    <mergeCell ref="J112:K112"/>
    <mergeCell ref="L109:M109"/>
    <mergeCell ref="N109:O109"/>
    <mergeCell ref="L110:M110"/>
    <mergeCell ref="N110:O110"/>
    <mergeCell ref="J110:K110"/>
    <mergeCell ref="J109:K109"/>
    <mergeCell ref="J106:Q106"/>
    <mergeCell ref="J107:K107"/>
    <mergeCell ref="J108:K108"/>
    <mergeCell ref="L107:M107"/>
    <mergeCell ref="L108:M108"/>
    <mergeCell ref="N107:O107"/>
    <mergeCell ref="N108:O108"/>
    <mergeCell ref="G8:J8"/>
    <mergeCell ref="G9:J9"/>
    <mergeCell ref="G10:J10"/>
    <mergeCell ref="H19:J19"/>
    <mergeCell ref="H106:H108"/>
    <mergeCell ref="I106:I108"/>
    <mergeCell ref="A105:Q105"/>
    <mergeCell ref="B100:E100"/>
    <mergeCell ref="B101:E101"/>
    <mergeCell ref="B102:E102"/>
    <mergeCell ref="B103:E103"/>
    <mergeCell ref="B25:E25"/>
    <mergeCell ref="B26:E26"/>
    <mergeCell ref="B27:E27"/>
    <mergeCell ref="B28:E28"/>
    <mergeCell ref="B29:E29"/>
    <mergeCell ref="A106:A108"/>
    <mergeCell ref="K1:Q1"/>
    <mergeCell ref="B24:E24"/>
    <mergeCell ref="L21:M21"/>
    <mergeCell ref="J22:K22"/>
    <mergeCell ref="L22:M22"/>
    <mergeCell ref="K4:L4"/>
    <mergeCell ref="K5:L5"/>
    <mergeCell ref="B20:E23"/>
    <mergeCell ref="F20:F23"/>
    <mergeCell ref="G20:G23"/>
    <mergeCell ref="H21:I21"/>
    <mergeCell ref="H22:I22"/>
    <mergeCell ref="J21:K21"/>
    <mergeCell ref="F12:K13"/>
    <mergeCell ref="H20:P20"/>
    <mergeCell ref="N21:P22"/>
    <mergeCell ref="O9:Q9"/>
    <mergeCell ref="O11:Q11"/>
    <mergeCell ref="O12:Q12"/>
    <mergeCell ref="O13:Q13"/>
    <mergeCell ref="O14:Q14"/>
    <mergeCell ref="O15:Q15"/>
    <mergeCell ref="O16:Q16"/>
    <mergeCell ref="K2:L2"/>
    <mergeCell ref="B46:E46"/>
    <mergeCell ref="B49:E49"/>
    <mergeCell ref="B30:E30"/>
    <mergeCell ref="B31:E31"/>
    <mergeCell ref="B32:E32"/>
    <mergeCell ref="B33:E33"/>
    <mergeCell ref="B34:E34"/>
    <mergeCell ref="B35:E35"/>
    <mergeCell ref="B36:E36"/>
    <mergeCell ref="B37:E37"/>
    <mergeCell ref="B38:E38"/>
    <mergeCell ref="B64:E64"/>
    <mergeCell ref="B65:E65"/>
    <mergeCell ref="B66:E66"/>
    <mergeCell ref="B67:E67"/>
    <mergeCell ref="B56:E56"/>
    <mergeCell ref="B57:E57"/>
    <mergeCell ref="B58:E58"/>
    <mergeCell ref="B39:E39"/>
    <mergeCell ref="B40:E40"/>
    <mergeCell ref="B41:E41"/>
    <mergeCell ref="B43:E43"/>
    <mergeCell ref="B42:E42"/>
    <mergeCell ref="B55:E55"/>
    <mergeCell ref="B59:E59"/>
    <mergeCell ref="B60:E60"/>
    <mergeCell ref="B44:E44"/>
    <mergeCell ref="B45:E45"/>
    <mergeCell ref="B47:E47"/>
    <mergeCell ref="B48:E48"/>
    <mergeCell ref="B50:E50"/>
    <mergeCell ref="B51:E51"/>
    <mergeCell ref="B52:E52"/>
    <mergeCell ref="B53:E53"/>
    <mergeCell ref="B54:E54"/>
    <mergeCell ref="B97:E97"/>
    <mergeCell ref="B98:E98"/>
    <mergeCell ref="B99:E99"/>
    <mergeCell ref="B93:E93"/>
    <mergeCell ref="B94:E94"/>
    <mergeCell ref="B80:E80"/>
    <mergeCell ref="B81:E81"/>
    <mergeCell ref="B82:E82"/>
    <mergeCell ref="B84:E84"/>
    <mergeCell ref="B85:E85"/>
    <mergeCell ref="B86:E86"/>
    <mergeCell ref="B87:E87"/>
    <mergeCell ref="B88:E88"/>
    <mergeCell ref="B89:E89"/>
    <mergeCell ref="B90:E90"/>
    <mergeCell ref="B91:E91"/>
    <mergeCell ref="B92:E92"/>
    <mergeCell ref="B95:E95"/>
    <mergeCell ref="B96:E96"/>
    <mergeCell ref="B68:E68"/>
    <mergeCell ref="B69:E69"/>
    <mergeCell ref="B70:E70"/>
    <mergeCell ref="B71:E71"/>
    <mergeCell ref="B72:E72"/>
    <mergeCell ref="B73:E73"/>
    <mergeCell ref="B77:E77"/>
    <mergeCell ref="B78:E78"/>
    <mergeCell ref="B79:E79"/>
    <mergeCell ref="B74:E74"/>
    <mergeCell ref="B75:E75"/>
    <mergeCell ref="B76:E76"/>
    <mergeCell ref="B61:E61"/>
    <mergeCell ref="B62:E62"/>
    <mergeCell ref="B63:E63"/>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O39:P39"/>
    <mergeCell ref="O40:P40"/>
    <mergeCell ref="O41:P41"/>
    <mergeCell ref="O42:P42"/>
    <mergeCell ref="O43:P43"/>
    <mergeCell ref="O44:P44"/>
    <mergeCell ref="O45:P45"/>
    <mergeCell ref="O46:P46"/>
    <mergeCell ref="O47:P47"/>
    <mergeCell ref="O48:P48"/>
    <mergeCell ref="O49:P49"/>
    <mergeCell ref="O50:P50"/>
    <mergeCell ref="O51:P51"/>
    <mergeCell ref="O52:P52"/>
    <mergeCell ref="O53:P53"/>
    <mergeCell ref="O54:P54"/>
    <mergeCell ref="O55:P55"/>
    <mergeCell ref="O56:P56"/>
    <mergeCell ref="O57:P57"/>
    <mergeCell ref="O58:P58"/>
    <mergeCell ref="O59:P59"/>
    <mergeCell ref="O60:P60"/>
    <mergeCell ref="O61:P61"/>
    <mergeCell ref="O82:P82"/>
    <mergeCell ref="O90:P90"/>
    <mergeCell ref="O91:P91"/>
    <mergeCell ref="O92:P92"/>
    <mergeCell ref="O62:P62"/>
    <mergeCell ref="O63:P63"/>
    <mergeCell ref="O64:P64"/>
    <mergeCell ref="O65:P65"/>
    <mergeCell ref="O66:P66"/>
    <mergeCell ref="O67:P67"/>
    <mergeCell ref="O68:P68"/>
    <mergeCell ref="O69:P69"/>
    <mergeCell ref="O70:P70"/>
    <mergeCell ref="O83:P83"/>
    <mergeCell ref="O84:P84"/>
    <mergeCell ref="O85:P85"/>
    <mergeCell ref="O71:P71"/>
    <mergeCell ref="O72:P72"/>
    <mergeCell ref="O73:P73"/>
    <mergeCell ref="O74:P74"/>
    <mergeCell ref="O75:P75"/>
    <mergeCell ref="O76:P76"/>
    <mergeCell ref="O95:P95"/>
    <mergeCell ref="O96:P96"/>
    <mergeCell ref="O97:P97"/>
    <mergeCell ref="O98:P98"/>
    <mergeCell ref="O99:P99"/>
    <mergeCell ref="O100:P100"/>
    <mergeCell ref="O101:P101"/>
    <mergeCell ref="O102:P102"/>
    <mergeCell ref="O103:P103"/>
    <mergeCell ref="P117:Q117"/>
    <mergeCell ref="P118:Q118"/>
    <mergeCell ref="P119:Q119"/>
    <mergeCell ref="P120:Q120"/>
    <mergeCell ref="P121:Q121"/>
    <mergeCell ref="P122:Q122"/>
    <mergeCell ref="P123:Q123"/>
    <mergeCell ref="P124:Q124"/>
    <mergeCell ref="P107:Q108"/>
    <mergeCell ref="P109:Q109"/>
    <mergeCell ref="P110:Q110"/>
    <mergeCell ref="P115:Q115"/>
    <mergeCell ref="P116:Q116"/>
    <mergeCell ref="M2:P2"/>
    <mergeCell ref="B12:E13"/>
    <mergeCell ref="K3:P3"/>
    <mergeCell ref="N4:P4"/>
    <mergeCell ref="M5:P5"/>
    <mergeCell ref="N7:P7"/>
    <mergeCell ref="P139:Q139"/>
    <mergeCell ref="P140:Q140"/>
    <mergeCell ref="O86:P86"/>
    <mergeCell ref="O87:P87"/>
    <mergeCell ref="O88:P88"/>
    <mergeCell ref="O89:P89"/>
    <mergeCell ref="O17:Q17"/>
    <mergeCell ref="P111:Q111"/>
    <mergeCell ref="P112:Q112"/>
    <mergeCell ref="P113:Q113"/>
    <mergeCell ref="P114:Q114"/>
    <mergeCell ref="O93:P93"/>
    <mergeCell ref="O94:P94"/>
    <mergeCell ref="O77:P77"/>
    <mergeCell ref="O78:P78"/>
    <mergeCell ref="O79:P79"/>
    <mergeCell ref="O80:P80"/>
    <mergeCell ref="O81:P81"/>
  </mergeCells>
  <conditionalFormatting sqref="T54 T59 V54 V59 X54 X59">
    <cfRule type="cellIs" dxfId="1" priority="3" operator="notEqual">
      <formula>0</formula>
    </cfRule>
  </conditionalFormatting>
  <conditionalFormatting sqref="H104:M104">
    <cfRule type="cellIs" dxfId="0" priority="1" operator="equal">
      <formula>0</formula>
    </cfRule>
  </conditionalFormatting>
  <printOptions horizontalCentered="1"/>
  <pageMargins left="0" right="0" top="0" bottom="0" header="0" footer="0"/>
  <pageSetup paperSize="9" scale="47" firstPageNumber="15" fitToWidth="0" fitToHeight="0" orientation="portrait" useFirstPageNumber="1" r:id="rId6"/>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M7"/>
  <sheetViews>
    <sheetView view="pageBreakPreview" zoomScale="90" zoomScaleSheetLayoutView="90" workbookViewId="0">
      <selection activeCell="E22" sqref="E22"/>
    </sheetView>
  </sheetViews>
  <sheetFormatPr defaultRowHeight="12.75" x14ac:dyDescent="0.2"/>
  <cols>
    <col min="1" max="1" width="19.5703125" customWidth="1"/>
    <col min="3" max="3" width="10.5703125" customWidth="1"/>
    <col min="4" max="4" width="13.28515625" customWidth="1"/>
    <col min="5" max="5" width="11.28515625" customWidth="1"/>
    <col min="7" max="7" width="11.28515625" bestFit="1" customWidth="1"/>
    <col min="8" max="8" width="11.140625" bestFit="1" customWidth="1"/>
    <col min="9" max="9" width="13.28515625" customWidth="1"/>
    <col min="10" max="10" width="11.28515625" bestFit="1" customWidth="1"/>
    <col min="11" max="11" width="11.140625" bestFit="1" customWidth="1"/>
    <col min="12" max="12" width="9.5703125" bestFit="1" customWidth="1"/>
  </cols>
  <sheetData>
    <row r="1" spans="1:13" ht="31.5" customHeight="1" x14ac:dyDescent="0.2">
      <c r="A1" s="664" t="s">
        <v>0</v>
      </c>
      <c r="B1" s="665"/>
      <c r="C1" s="665"/>
      <c r="D1" s="665"/>
      <c r="E1" s="665"/>
      <c r="F1" s="665"/>
      <c r="G1" s="665"/>
      <c r="H1" s="665"/>
      <c r="I1" s="665"/>
      <c r="J1" s="665"/>
      <c r="K1" s="666"/>
    </row>
    <row r="2" spans="1:13" x14ac:dyDescent="0.2">
      <c r="A2" s="667" t="s">
        <v>1</v>
      </c>
      <c r="B2" s="670" t="s">
        <v>2</v>
      </c>
      <c r="C2" s="673" t="s">
        <v>6</v>
      </c>
      <c r="D2" s="673"/>
      <c r="E2" s="673"/>
      <c r="F2" s="673" t="s">
        <v>8</v>
      </c>
      <c r="G2" s="673"/>
      <c r="H2" s="673"/>
      <c r="I2" s="673" t="s">
        <v>9</v>
      </c>
      <c r="J2" s="673"/>
      <c r="K2" s="673"/>
    </row>
    <row r="3" spans="1:13" ht="21" customHeight="1" x14ac:dyDescent="0.2">
      <c r="A3" s="668"/>
      <c r="B3" s="671"/>
      <c r="C3" s="112" t="s">
        <v>477</v>
      </c>
      <c r="D3" s="112" t="s">
        <v>552</v>
      </c>
      <c r="E3" s="112" t="s">
        <v>579</v>
      </c>
      <c r="F3" s="272" t="s">
        <v>477</v>
      </c>
      <c r="G3" s="272" t="s">
        <v>552</v>
      </c>
      <c r="H3" s="272" t="s">
        <v>579</v>
      </c>
      <c r="I3" s="272" t="s">
        <v>477</v>
      </c>
      <c r="J3" s="272" t="s">
        <v>552</v>
      </c>
      <c r="K3" s="272" t="s">
        <v>579</v>
      </c>
    </row>
    <row r="4" spans="1:13" ht="49.5" customHeight="1" x14ac:dyDescent="0.2">
      <c r="A4" s="669"/>
      <c r="B4" s="672"/>
      <c r="C4" s="3" t="s">
        <v>3</v>
      </c>
      <c r="D4" s="3" t="s">
        <v>4</v>
      </c>
      <c r="E4" s="3" t="s">
        <v>5</v>
      </c>
      <c r="F4" s="3" t="s">
        <v>3</v>
      </c>
      <c r="G4" s="3" t="s">
        <v>4</v>
      </c>
      <c r="H4" s="3" t="s">
        <v>5</v>
      </c>
      <c r="I4" s="3" t="s">
        <v>3</v>
      </c>
      <c r="J4" s="3" t="s">
        <v>4</v>
      </c>
      <c r="K4" s="3" t="s">
        <v>5</v>
      </c>
    </row>
    <row r="5" spans="1:13" x14ac:dyDescent="0.2">
      <c r="A5" s="1">
        <v>1</v>
      </c>
      <c r="B5" s="1">
        <v>2</v>
      </c>
      <c r="C5" s="1">
        <v>3</v>
      </c>
      <c r="D5" s="1">
        <v>4</v>
      </c>
      <c r="E5" s="1">
        <v>5</v>
      </c>
      <c r="F5" s="1">
        <v>6</v>
      </c>
      <c r="G5" s="1">
        <v>7</v>
      </c>
      <c r="H5" s="1">
        <v>8</v>
      </c>
      <c r="I5" s="1">
        <v>9</v>
      </c>
      <c r="J5" s="1">
        <v>10</v>
      </c>
      <c r="K5" s="1">
        <v>11</v>
      </c>
    </row>
    <row r="6" spans="1:13" ht="37.5" customHeight="1" x14ac:dyDescent="0.2">
      <c r="A6" s="60" t="s">
        <v>471</v>
      </c>
      <c r="B6" s="4" t="s">
        <v>10</v>
      </c>
      <c r="C6" s="62">
        <f>I6/F6</f>
        <v>3472.2222222222222</v>
      </c>
      <c r="D6" s="62">
        <f>J6/G6</f>
        <v>2977.7777777777778</v>
      </c>
      <c r="E6" s="62">
        <f>K6/H6</f>
        <v>2977.7777777777778</v>
      </c>
      <c r="F6" s="2">
        <v>9</v>
      </c>
      <c r="G6" s="2">
        <v>9</v>
      </c>
      <c r="H6" s="2">
        <v>9</v>
      </c>
      <c r="I6" s="226">
        <v>31250</v>
      </c>
      <c r="J6" s="226">
        <v>26800</v>
      </c>
      <c r="K6" s="226">
        <v>26800</v>
      </c>
    </row>
    <row r="7" spans="1:13" ht="18.75" customHeight="1" x14ac:dyDescent="0.2">
      <c r="A7" s="2" t="s">
        <v>13</v>
      </c>
      <c r="B7" s="2"/>
      <c r="C7" s="2" t="s">
        <v>14</v>
      </c>
      <c r="D7" s="2" t="s">
        <v>14</v>
      </c>
      <c r="E7" s="2" t="s">
        <v>14</v>
      </c>
      <c r="F7" s="2" t="s">
        <v>14</v>
      </c>
      <c r="G7" s="2" t="s">
        <v>14</v>
      </c>
      <c r="H7" s="2" t="s">
        <v>14</v>
      </c>
      <c r="I7" s="62">
        <f>SUM(I6:I6)</f>
        <v>31250</v>
      </c>
      <c r="J7" s="62">
        <f>SUM(J6:J6)</f>
        <v>26800</v>
      </c>
      <c r="K7" s="62">
        <f>SUM(K6:K6)</f>
        <v>26800</v>
      </c>
      <c r="L7" s="61">
        <v>31250</v>
      </c>
      <c r="M7" s="61">
        <f>I7-L7</f>
        <v>0</v>
      </c>
    </row>
  </sheetData>
  <customSheetViews>
    <customSheetView guid="{DC13F25B-CAA7-4E25-AFF1-0DCF9AD75BDE}" scale="120" showPageBreaks="1" fitToPage="1" printArea="1" view="pageBreakPreview">
      <selection activeCell="K7" sqref="K7"/>
      <pageMargins left="0.70866141732283472" right="0.70866141732283472" top="0.74803149606299213" bottom="0.74803149606299213" header="0.31496062992125984" footer="0.31496062992125984"/>
      <pageSetup paperSize="9" orientation="landscape" r:id="rId1"/>
    </customSheetView>
    <customSheetView guid="{6AD2622C-AF85-4997-AA93-A54C85AD6D68}" scale="120" showPageBreaks="1" fitToPage="1" view="pageBreakPreview">
      <selection activeCell="K9" sqref="K9"/>
      <pageMargins left="0.70866141732283472" right="0.70866141732283472" top="0.74803149606299213" bottom="0.74803149606299213" header="0.31496062992125984" footer="0.31496062992125984"/>
      <pageSetup paperSize="9" scale="99" orientation="landscape" r:id="rId2"/>
    </customSheetView>
    <customSheetView guid="{C88A4605-0F8D-4713-9317-AF13632C8FA6}" scale="120" showPageBreaks="1" fitToPage="1" view="pageBreakPreview">
      <selection activeCell="G7" sqref="G7"/>
      <pageMargins left="0.70866141732283472" right="0.70866141732283472" top="0.74803149606299213" bottom="0.74803149606299213" header="0.31496062992125984" footer="0.31496062992125984"/>
      <pageSetup paperSize="9" scale="99" orientation="landscape" r:id="rId3"/>
    </customSheetView>
    <customSheetView guid="{84CC8968-6D7C-41C4-B973-ECD381BB63FC}" scale="120" showPageBreaks="1" fitToPage="1" printArea="1" state="hidden" view="pageBreakPreview" topLeftCell="D1">
      <selection activeCell="N10" sqref="N10"/>
      <pageMargins left="0.70866141732283472" right="0.70866141732283472" top="0.74803149606299213" bottom="0.74803149606299213" header="0.31496062992125984" footer="0.31496062992125984"/>
      <pageSetup paperSize="9" orientation="landscape" r:id="rId4"/>
    </customSheetView>
    <customSheetView guid="{C47F8591-E97A-4739-B299-8B7B5E22A2DD}" scale="120" showPageBreaks="1" fitToPage="1" printArea="1" view="pageBreakPreview">
      <selection activeCell="K7" sqref="K7"/>
      <pageMargins left="0.70866141732283472" right="0.70866141732283472" top="0.74803149606299213" bottom="0.74803149606299213" header="0.31496062992125984" footer="0.31496062992125984"/>
      <pageSetup paperSize="9" orientation="landscape" r:id="rId5"/>
    </customSheetView>
  </customSheetViews>
  <mergeCells count="6">
    <mergeCell ref="A1:K1"/>
    <mergeCell ref="A2:A4"/>
    <mergeCell ref="B2:B4"/>
    <mergeCell ref="C2:E2"/>
    <mergeCell ref="F2:H2"/>
    <mergeCell ref="I2:K2"/>
  </mergeCells>
  <pageMargins left="0.70866141732283472" right="0.70866141732283472" top="0.74803149606299213" bottom="0.74803149606299213" header="0.31496062992125984" footer="0.31496062992125984"/>
  <pageSetup paperSize="9" orientation="landscape"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view="pageBreakPreview" zoomScale="115" zoomScaleNormal="120" zoomScaleSheetLayoutView="115" workbookViewId="0">
      <selection activeCell="E22" sqref="E22"/>
    </sheetView>
  </sheetViews>
  <sheetFormatPr defaultColWidth="0.85546875" defaultRowHeight="12.75" x14ac:dyDescent="0.2"/>
  <cols>
    <col min="1" max="1" width="18.140625" style="9" customWidth="1"/>
    <col min="2" max="2" width="6.42578125" style="9" customWidth="1"/>
    <col min="3" max="3" width="9.42578125" style="9" customWidth="1"/>
    <col min="4" max="5" width="8.140625" style="9" bestFit="1" customWidth="1"/>
    <col min="6" max="6" width="10.42578125" style="9" customWidth="1"/>
    <col min="7" max="8" width="8.140625" style="9" bestFit="1" customWidth="1"/>
    <col min="9" max="10" width="9.5703125" style="9" customWidth="1"/>
    <col min="11" max="11" width="10.28515625" style="9" bestFit="1" customWidth="1"/>
    <col min="12" max="14" width="10" style="9" customWidth="1"/>
    <col min="15" max="15" width="10.85546875" style="9" customWidth="1"/>
    <col min="16" max="16" width="3.5703125" style="9" customWidth="1"/>
    <col min="17" max="27" width="2.7109375" style="9" customWidth="1"/>
    <col min="28" max="29" width="3.140625" style="9" customWidth="1"/>
    <col min="30" max="32" width="2.7109375" style="9" customWidth="1"/>
    <col min="33" max="16384" width="0.85546875" style="9"/>
  </cols>
  <sheetData>
    <row r="1" spans="1:47" ht="15.75" x14ac:dyDescent="0.25">
      <c r="A1" s="674" t="s">
        <v>141</v>
      </c>
      <c r="B1" s="674"/>
      <c r="C1" s="674"/>
      <c r="D1" s="674"/>
      <c r="E1" s="674"/>
      <c r="F1" s="674"/>
      <c r="G1" s="674"/>
      <c r="H1" s="674"/>
      <c r="I1" s="674"/>
      <c r="J1" s="674"/>
      <c r="K1" s="674"/>
      <c r="L1" s="674"/>
      <c r="M1" s="674"/>
      <c r="N1" s="674"/>
      <c r="O1" s="674"/>
      <c r="P1" s="674"/>
      <c r="Q1" s="674"/>
      <c r="R1" s="674"/>
      <c r="S1" s="674"/>
      <c r="T1" s="674"/>
      <c r="U1" s="674"/>
      <c r="V1" s="674"/>
      <c r="W1" s="674"/>
      <c r="X1" s="674"/>
      <c r="Y1" s="674"/>
      <c r="Z1" s="674"/>
      <c r="AA1" s="674"/>
      <c r="AB1" s="674"/>
      <c r="AC1" s="674"/>
      <c r="AD1" s="674"/>
      <c r="AE1" s="674"/>
      <c r="AF1" s="674"/>
      <c r="AG1" s="36"/>
      <c r="AH1" s="36"/>
      <c r="AI1" s="36"/>
      <c r="AJ1" s="36"/>
      <c r="AK1" s="36"/>
      <c r="AL1" s="36"/>
      <c r="AM1" s="36"/>
      <c r="AN1" s="36"/>
      <c r="AO1" s="36"/>
      <c r="AP1" s="36"/>
      <c r="AQ1" s="36"/>
      <c r="AR1" s="36"/>
      <c r="AS1" s="36"/>
      <c r="AT1" s="36"/>
      <c r="AU1" s="36"/>
    </row>
    <row r="2" spans="1:47" ht="13.5" customHeight="1" x14ac:dyDescent="0.2">
      <c r="A2" s="36"/>
      <c r="B2" s="36"/>
      <c r="C2" s="36"/>
      <c r="D2" s="36"/>
      <c r="E2" s="36"/>
      <c r="F2" s="36"/>
      <c r="G2" s="36"/>
      <c r="H2" s="36"/>
      <c r="I2" s="36"/>
      <c r="J2" s="36"/>
      <c r="K2" s="36"/>
      <c r="L2" s="36"/>
      <c r="M2" s="36"/>
      <c r="N2" s="36"/>
      <c r="O2" s="37"/>
      <c r="P2" s="37"/>
      <c r="Q2" s="37"/>
      <c r="R2" s="37"/>
      <c r="S2" s="37"/>
      <c r="T2" s="37"/>
      <c r="U2" s="37"/>
      <c r="V2" s="37"/>
      <c r="W2" s="37"/>
      <c r="X2" s="37"/>
      <c r="Y2" s="37"/>
      <c r="Z2" s="37"/>
      <c r="AA2" s="37"/>
      <c r="AB2" s="37"/>
      <c r="AC2" s="37"/>
      <c r="AD2" s="37"/>
      <c r="AE2" s="37"/>
      <c r="AF2" s="37"/>
    </row>
    <row r="3" spans="1:47" ht="12.75" customHeight="1" x14ac:dyDescent="0.2">
      <c r="A3" s="582" t="s">
        <v>1</v>
      </c>
      <c r="B3" s="582" t="s">
        <v>2</v>
      </c>
      <c r="C3" s="582" t="s">
        <v>142</v>
      </c>
      <c r="D3" s="582"/>
      <c r="E3" s="582"/>
      <c r="F3" s="582" t="s">
        <v>143</v>
      </c>
      <c r="G3" s="582"/>
      <c r="H3" s="582"/>
      <c r="I3" s="582" t="s">
        <v>144</v>
      </c>
      <c r="J3" s="582"/>
      <c r="K3" s="582"/>
      <c r="L3" s="582" t="s">
        <v>21</v>
      </c>
      <c r="M3" s="582"/>
      <c r="N3" s="582"/>
    </row>
    <row r="4" spans="1:47" ht="25.5" x14ac:dyDescent="0.2">
      <c r="A4" s="582"/>
      <c r="B4" s="582"/>
      <c r="C4" s="272" t="s">
        <v>477</v>
      </c>
      <c r="D4" s="272" t="s">
        <v>552</v>
      </c>
      <c r="E4" s="272" t="s">
        <v>579</v>
      </c>
      <c r="F4" s="272" t="s">
        <v>477</v>
      </c>
      <c r="G4" s="272" t="s">
        <v>552</v>
      </c>
      <c r="H4" s="272" t="s">
        <v>579</v>
      </c>
      <c r="I4" s="272" t="s">
        <v>477</v>
      </c>
      <c r="J4" s="272" t="s">
        <v>552</v>
      </c>
      <c r="K4" s="272" t="s">
        <v>579</v>
      </c>
      <c r="L4" s="272" t="s">
        <v>477</v>
      </c>
      <c r="M4" s="272" t="s">
        <v>552</v>
      </c>
      <c r="N4" s="272" t="s">
        <v>579</v>
      </c>
    </row>
    <row r="5" spans="1:47" ht="55.9" customHeight="1" x14ac:dyDescent="0.2">
      <c r="A5" s="582"/>
      <c r="B5" s="582"/>
      <c r="C5" s="271" t="s">
        <v>122</v>
      </c>
      <c r="D5" s="271" t="s">
        <v>123</v>
      </c>
      <c r="E5" s="271" t="s">
        <v>124</v>
      </c>
      <c r="F5" s="271" t="s">
        <v>122</v>
      </c>
      <c r="G5" s="271" t="s">
        <v>123</v>
      </c>
      <c r="H5" s="271" t="s">
        <v>124</v>
      </c>
      <c r="I5" s="271" t="s">
        <v>122</v>
      </c>
      <c r="J5" s="271" t="s">
        <v>123</v>
      </c>
      <c r="K5" s="271" t="s">
        <v>124</v>
      </c>
      <c r="L5" s="271" t="s">
        <v>122</v>
      </c>
      <c r="M5" s="271" t="s">
        <v>123</v>
      </c>
      <c r="N5" s="271" t="s">
        <v>124</v>
      </c>
    </row>
    <row r="6" spans="1:47" x14ac:dyDescent="0.2">
      <c r="A6" s="277">
        <v>1</v>
      </c>
      <c r="B6" s="277">
        <v>2</v>
      </c>
      <c r="C6" s="277">
        <v>3</v>
      </c>
      <c r="D6" s="277">
        <v>4</v>
      </c>
      <c r="E6" s="277">
        <v>5</v>
      </c>
      <c r="F6" s="277">
        <v>6</v>
      </c>
      <c r="G6" s="277">
        <v>7</v>
      </c>
      <c r="H6" s="277">
        <v>8</v>
      </c>
      <c r="I6" s="277">
        <v>9</v>
      </c>
      <c r="J6" s="277">
        <v>10</v>
      </c>
      <c r="K6" s="277">
        <v>11</v>
      </c>
      <c r="L6" s="277">
        <v>12</v>
      </c>
      <c r="M6" s="277">
        <v>13</v>
      </c>
      <c r="N6" s="277">
        <v>14</v>
      </c>
    </row>
    <row r="7" spans="1:47" ht="34.5" customHeight="1" x14ac:dyDescent="0.25">
      <c r="A7" s="30" t="s">
        <v>145</v>
      </c>
      <c r="B7" s="420" t="s">
        <v>335</v>
      </c>
      <c r="C7" s="24">
        <v>4</v>
      </c>
      <c r="D7" s="24">
        <v>4</v>
      </c>
      <c r="E7" s="24">
        <v>4</v>
      </c>
      <c r="F7" s="24">
        <v>12</v>
      </c>
      <c r="G7" s="24">
        <v>12</v>
      </c>
      <c r="H7" s="24">
        <v>12</v>
      </c>
      <c r="I7" s="57">
        <f>ROUND(L7/F7/C7,2)</f>
        <v>0</v>
      </c>
      <c r="J7" s="57">
        <f t="shared" ref="I7:K9" si="0">ROUND(M7/G7/D7,2)</f>
        <v>0</v>
      </c>
      <c r="K7" s="57">
        <f t="shared" si="0"/>
        <v>0</v>
      </c>
      <c r="L7" s="274">
        <v>0</v>
      </c>
      <c r="M7" s="284">
        <v>0</v>
      </c>
      <c r="N7" s="284">
        <v>0</v>
      </c>
      <c r="O7" s="224"/>
    </row>
    <row r="8" spans="1:47" s="212" customFormat="1" ht="34.5" customHeight="1" x14ac:dyDescent="0.25">
      <c r="A8" s="30" t="s">
        <v>567</v>
      </c>
      <c r="B8" s="420" t="s">
        <v>336</v>
      </c>
      <c r="C8" s="24">
        <v>10</v>
      </c>
      <c r="D8" s="24">
        <v>10</v>
      </c>
      <c r="E8" s="24">
        <v>10</v>
      </c>
      <c r="F8" s="24">
        <v>12</v>
      </c>
      <c r="G8" s="24">
        <v>12</v>
      </c>
      <c r="H8" s="24">
        <v>12</v>
      </c>
      <c r="I8" s="57">
        <f>ROUND(L8/F8/C8,2)</f>
        <v>0</v>
      </c>
      <c r="J8" s="57">
        <f t="shared" ref="J8" si="1">ROUND(M8/G8/D8,2)</f>
        <v>0</v>
      </c>
      <c r="K8" s="57">
        <f t="shared" ref="K8" si="2">ROUND(N8/H8/E8,2)</f>
        <v>0</v>
      </c>
      <c r="L8" s="274">
        <v>0</v>
      </c>
      <c r="M8" s="284">
        <v>0</v>
      </c>
      <c r="N8" s="284">
        <v>0</v>
      </c>
      <c r="O8" s="224"/>
    </row>
    <row r="9" spans="1:47" ht="55.5" customHeight="1" x14ac:dyDescent="0.25">
      <c r="A9" s="30" t="s">
        <v>146</v>
      </c>
      <c r="B9" s="420" t="s">
        <v>40</v>
      </c>
      <c r="C9" s="24">
        <v>7</v>
      </c>
      <c r="D9" s="24">
        <v>7</v>
      </c>
      <c r="E9" s="24">
        <v>7</v>
      </c>
      <c r="F9" s="24">
        <v>12</v>
      </c>
      <c r="G9" s="24">
        <v>12</v>
      </c>
      <c r="H9" s="24">
        <v>12</v>
      </c>
      <c r="I9" s="57">
        <f t="shared" si="0"/>
        <v>190.48</v>
      </c>
      <c r="J9" s="57">
        <f t="shared" si="0"/>
        <v>785.71</v>
      </c>
      <c r="K9" s="57">
        <f t="shared" si="0"/>
        <v>785.71</v>
      </c>
      <c r="L9" s="274">
        <v>16000</v>
      </c>
      <c r="M9" s="284">
        <v>66000</v>
      </c>
      <c r="N9" s="284">
        <v>66000</v>
      </c>
      <c r="O9" s="224"/>
    </row>
    <row r="10" spans="1:47" ht="24" customHeight="1" thickBot="1" x14ac:dyDescent="0.3">
      <c r="A10" s="383" t="s">
        <v>13</v>
      </c>
      <c r="B10" s="421">
        <v>9000</v>
      </c>
      <c r="C10" s="26" t="s">
        <v>14</v>
      </c>
      <c r="D10" s="26" t="s">
        <v>14</v>
      </c>
      <c r="E10" s="26" t="s">
        <v>14</v>
      </c>
      <c r="F10" s="26" t="s">
        <v>14</v>
      </c>
      <c r="G10" s="26" t="s">
        <v>14</v>
      </c>
      <c r="H10" s="26" t="s">
        <v>14</v>
      </c>
      <c r="I10" s="26" t="s">
        <v>14</v>
      </c>
      <c r="J10" s="26" t="s">
        <v>14</v>
      </c>
      <c r="K10" s="26" t="s">
        <v>14</v>
      </c>
      <c r="L10" s="57">
        <f>SUM(L7:L9)</f>
        <v>16000</v>
      </c>
      <c r="M10" s="57">
        <f>SUM(M7:M9)</f>
        <v>66000</v>
      </c>
      <c r="N10" s="57">
        <f>SUM(N7:N9)</f>
        <v>66000</v>
      </c>
      <c r="O10" s="224"/>
      <c r="P10" s="21"/>
    </row>
    <row r="11" spans="1:47" ht="14.25" customHeight="1" x14ac:dyDescent="0.2">
      <c r="A11" s="36"/>
      <c r="B11" s="36"/>
      <c r="C11" s="36"/>
      <c r="D11" s="36"/>
      <c r="E11" s="36"/>
      <c r="F11" s="36"/>
      <c r="G11" s="36"/>
      <c r="H11" s="36"/>
      <c r="I11" s="36"/>
      <c r="J11" s="36"/>
      <c r="K11" s="36"/>
      <c r="L11" s="74">
        <v>16000</v>
      </c>
      <c r="M11" s="74">
        <v>66000</v>
      </c>
      <c r="N11" s="74">
        <v>66000</v>
      </c>
      <c r="O11" s="38"/>
      <c r="P11" s="38"/>
      <c r="Q11" s="38"/>
      <c r="R11" s="38"/>
      <c r="S11" s="38"/>
      <c r="T11" s="38"/>
      <c r="U11" s="38"/>
      <c r="V11" s="38"/>
      <c r="W11" s="38"/>
      <c r="X11" s="38"/>
      <c r="Y11" s="38"/>
      <c r="Z11" s="38"/>
      <c r="AA11" s="38"/>
      <c r="AB11" s="38"/>
      <c r="AC11" s="38"/>
      <c r="AD11" s="38"/>
      <c r="AE11" s="38"/>
      <c r="AF11" s="38"/>
    </row>
    <row r="12" spans="1:47" x14ac:dyDescent="0.2">
      <c r="L12" s="307">
        <f>L10-L11</f>
        <v>0</v>
      </c>
      <c r="M12" s="307">
        <f t="shared" ref="M12:N12" si="3">M10-M11</f>
        <v>0</v>
      </c>
      <c r="N12" s="307">
        <f t="shared" si="3"/>
        <v>0</v>
      </c>
    </row>
  </sheetData>
  <customSheetViews>
    <customSheetView guid="{DC13F25B-CAA7-4E25-AFF1-0DCF9AD75BDE}" scale="115" showPageBreaks="1" printArea="1" view="pageBreakPreview">
      <selection activeCell="M9" sqref="M9:N9"/>
      <pageMargins left="0.59055118110236227" right="0.51181102362204722" top="1.1811023622047245" bottom="0.39370078740157483" header="0.19685039370078741" footer="0.19685039370078741"/>
      <printOptions horizontalCentered="1"/>
      <pageSetup paperSize="9" firstPageNumber="25" orientation="landscape" useFirstPageNumber="1" r:id="rId1"/>
      <headerFooter alignWithMargins="0"/>
    </customSheetView>
    <customSheetView guid="{6AD2622C-AF85-4997-AA93-A54C85AD6D68}" scale="145" showPageBreaks="1" printArea="1" view="pageBreakPreview" topLeftCell="C1">
      <selection activeCell="O10" sqref="O10"/>
      <pageMargins left="0.59055118110236227" right="0.51181102362204722" top="1.1811023622047245" bottom="0.39370078740157483" header="0.19685039370078741" footer="0.19685039370078741"/>
      <printOptions horizontalCentered="1"/>
      <pageSetup paperSize="9" firstPageNumber="25" orientation="landscape" useFirstPageNumber="1" r:id="rId2"/>
      <headerFooter alignWithMargins="0">
        <oddHeader>&amp;C&amp;"Times New Roman,обычный"&amp;12&amp;P</oddHeader>
      </headerFooter>
    </customSheetView>
    <customSheetView guid="{C88A4605-0F8D-4713-9317-AF13632C8FA6}" scale="145" showPageBreaks="1" printArea="1" view="pageBreakPreview" topLeftCell="C1">
      <selection activeCell="O10" sqref="O10"/>
      <pageMargins left="0.59055118110236227" right="0.51181102362204722" top="1.1811023622047245" bottom="0.39370078740157483" header="0.19685039370078741" footer="0.19685039370078741"/>
      <printOptions horizontalCentered="1"/>
      <pageSetup paperSize="9" firstPageNumber="25" orientation="landscape" useFirstPageNumber="1" r:id="rId3"/>
      <headerFooter alignWithMargins="0">
        <oddHeader>&amp;C&amp;"Times New Roman,обычный"&amp;12&amp;P</oddHeader>
      </headerFooter>
    </customSheetView>
    <customSheetView guid="{84CC8968-6D7C-41C4-B973-ECD381BB63FC}" scale="115" showPageBreaks="1" printArea="1" state="hidden" view="pageBreakPreview">
      <selection activeCell="N10" sqref="N10"/>
      <pageMargins left="0.59055118110236227" right="0.51181102362204722" top="1.1811023622047245" bottom="0.39370078740157483" header="0.19685039370078741" footer="0.19685039370078741"/>
      <printOptions horizontalCentered="1"/>
      <pageSetup paperSize="9" firstPageNumber="25" orientation="landscape" useFirstPageNumber="1" r:id="rId4"/>
      <headerFooter alignWithMargins="0"/>
    </customSheetView>
    <customSheetView guid="{C47F8591-E97A-4739-B299-8B7B5E22A2DD}" scale="115" showPageBreaks="1" printArea="1" view="pageBreakPreview">
      <selection activeCell="M9" sqref="M9:N9"/>
      <pageMargins left="0.59055118110236227" right="0.51181102362204722" top="1.1811023622047245" bottom="0.39370078740157483" header="0.19685039370078741" footer="0.19685039370078741"/>
      <printOptions horizontalCentered="1"/>
      <pageSetup paperSize="9" firstPageNumber="25" orientation="landscape" useFirstPageNumber="1" r:id="rId5"/>
      <headerFooter alignWithMargins="0"/>
    </customSheetView>
  </customSheetViews>
  <mergeCells count="7">
    <mergeCell ref="A1:AF1"/>
    <mergeCell ref="A3:A5"/>
    <mergeCell ref="B3:B5"/>
    <mergeCell ref="C3:E3"/>
    <mergeCell ref="F3:H3"/>
    <mergeCell ref="I3:K3"/>
    <mergeCell ref="L3:N3"/>
  </mergeCells>
  <printOptions horizontalCentered="1"/>
  <pageMargins left="0.59055118110236227" right="0.51181102362204722" top="1.1811023622047245" bottom="0.39370078740157483" header="0.19685039370078741" footer="0.19685039370078741"/>
  <pageSetup paperSize="9" firstPageNumber="25" orientation="landscape" useFirstPageNumber="1" r:id="rId6"/>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view="pageBreakPreview" zoomScale="110" zoomScaleNormal="120" zoomScaleSheetLayoutView="110" workbookViewId="0">
      <selection activeCell="E22" sqref="E22"/>
    </sheetView>
  </sheetViews>
  <sheetFormatPr defaultColWidth="0.85546875" defaultRowHeight="12.75" x14ac:dyDescent="0.2"/>
  <cols>
    <col min="1" max="1" width="20.28515625" style="6" customWidth="1"/>
    <col min="2" max="2" width="10.85546875" style="6" bestFit="1" customWidth="1"/>
    <col min="3" max="3" width="10.5703125" style="6" bestFit="1" customWidth="1"/>
    <col min="4" max="4" width="10.7109375" style="6" bestFit="1" customWidth="1"/>
    <col min="5" max="6" width="10.5703125" style="6" bestFit="1" customWidth="1"/>
    <col min="7" max="7" width="10.7109375" style="6" bestFit="1" customWidth="1"/>
    <col min="8" max="9" width="10.5703125" style="6" bestFit="1" customWidth="1"/>
    <col min="10" max="10" width="10.7109375" style="6" bestFit="1" customWidth="1"/>
    <col min="11" max="11" width="10.5703125" style="6" bestFit="1" customWidth="1"/>
    <col min="12" max="12" width="10.140625" style="6" customWidth="1"/>
    <col min="13" max="13" width="10.5703125" style="6" bestFit="1" customWidth="1"/>
    <col min="14" max="16384" width="0.85546875" style="6"/>
  </cols>
  <sheetData>
    <row r="1" spans="1:13" ht="5.45" customHeight="1" x14ac:dyDescent="0.2">
      <c r="A1" s="5"/>
      <c r="B1" s="5"/>
      <c r="C1" s="5"/>
      <c r="D1" s="5"/>
      <c r="E1" s="5"/>
      <c r="F1" s="5"/>
      <c r="G1" s="5"/>
      <c r="H1" s="5"/>
      <c r="I1" s="5"/>
      <c r="J1" s="5"/>
      <c r="K1" s="5"/>
      <c r="M1" s="5"/>
    </row>
    <row r="2" spans="1:13" ht="15.75" x14ac:dyDescent="0.25">
      <c r="A2" s="526" t="s">
        <v>147</v>
      </c>
      <c r="B2" s="526"/>
      <c r="C2" s="526"/>
      <c r="D2" s="526"/>
      <c r="E2" s="526"/>
      <c r="F2" s="526"/>
      <c r="G2" s="526"/>
      <c r="H2" s="526"/>
      <c r="I2" s="526"/>
      <c r="J2" s="526"/>
      <c r="K2" s="526"/>
    </row>
    <row r="3" spans="1:13" ht="6" customHeight="1" x14ac:dyDescent="0.2">
      <c r="A3" s="5"/>
      <c r="B3" s="5"/>
      <c r="C3" s="5"/>
      <c r="D3" s="5"/>
      <c r="E3" s="5"/>
      <c r="F3" s="5"/>
      <c r="G3" s="5"/>
      <c r="H3" s="5"/>
      <c r="I3" s="5"/>
      <c r="J3" s="5"/>
      <c r="K3" s="5"/>
      <c r="M3" s="5"/>
    </row>
    <row r="4" spans="1:13" ht="12.75" customHeight="1" x14ac:dyDescent="0.2">
      <c r="A4" s="629" t="s">
        <v>1</v>
      </c>
      <c r="B4" s="582" t="s">
        <v>2</v>
      </c>
      <c r="C4" s="582" t="s">
        <v>148</v>
      </c>
      <c r="D4" s="582"/>
      <c r="E4" s="582"/>
      <c r="F4" s="582" t="s">
        <v>149</v>
      </c>
      <c r="G4" s="582"/>
      <c r="H4" s="582"/>
      <c r="I4" s="582" t="s">
        <v>21</v>
      </c>
      <c r="J4" s="582"/>
      <c r="K4" s="582"/>
    </row>
    <row r="5" spans="1:13" x14ac:dyDescent="0.2">
      <c r="A5" s="629"/>
      <c r="B5" s="582"/>
      <c r="C5" s="112" t="s">
        <v>477</v>
      </c>
      <c r="D5" s="112" t="s">
        <v>552</v>
      </c>
      <c r="E5" s="112" t="s">
        <v>579</v>
      </c>
      <c r="F5" s="272" t="s">
        <v>477</v>
      </c>
      <c r="G5" s="272" t="s">
        <v>552</v>
      </c>
      <c r="H5" s="272" t="s">
        <v>579</v>
      </c>
      <c r="I5" s="272" t="s">
        <v>477</v>
      </c>
      <c r="J5" s="272" t="s">
        <v>552</v>
      </c>
      <c r="K5" s="272" t="s">
        <v>579</v>
      </c>
      <c r="M5" s="49"/>
    </row>
    <row r="6" spans="1:13" ht="42" customHeight="1" x14ac:dyDescent="0.2">
      <c r="A6" s="629"/>
      <c r="B6" s="582"/>
      <c r="C6" s="23" t="s">
        <v>3</v>
      </c>
      <c r="D6" s="23" t="s">
        <v>4</v>
      </c>
      <c r="E6" s="23" t="s">
        <v>5</v>
      </c>
      <c r="F6" s="23" t="s">
        <v>3</v>
      </c>
      <c r="G6" s="23" t="s">
        <v>4</v>
      </c>
      <c r="H6" s="23" t="s">
        <v>5</v>
      </c>
      <c r="I6" s="23" t="s">
        <v>3</v>
      </c>
      <c r="J6" s="23" t="s">
        <v>4</v>
      </c>
      <c r="K6" s="23" t="s">
        <v>5</v>
      </c>
      <c r="M6" s="49"/>
    </row>
    <row r="7" spans="1:13" x14ac:dyDescent="0.2">
      <c r="A7" s="29">
        <v>1</v>
      </c>
      <c r="B7" s="29">
        <v>2</v>
      </c>
      <c r="C7" s="29">
        <v>3</v>
      </c>
      <c r="D7" s="29">
        <v>4</v>
      </c>
      <c r="E7" s="29">
        <v>5</v>
      </c>
      <c r="F7" s="29">
        <v>6</v>
      </c>
      <c r="G7" s="29">
        <v>7</v>
      </c>
      <c r="H7" s="29">
        <v>8</v>
      </c>
      <c r="I7" s="29">
        <v>9</v>
      </c>
      <c r="J7" s="29">
        <v>10</v>
      </c>
      <c r="K7" s="29">
        <v>11</v>
      </c>
      <c r="M7" s="5"/>
    </row>
    <row r="8" spans="1:13" s="227" customFormat="1" ht="29.25" customHeight="1" x14ac:dyDescent="0.25">
      <c r="A8" s="419" t="s">
        <v>401</v>
      </c>
      <c r="B8" s="420" t="s">
        <v>335</v>
      </c>
      <c r="C8" s="29">
        <v>4</v>
      </c>
      <c r="D8" s="29">
        <v>4</v>
      </c>
      <c r="E8" s="29">
        <v>4</v>
      </c>
      <c r="F8" s="59">
        <f>ROUND(I8/C8,2)</f>
        <v>0</v>
      </c>
      <c r="G8" s="59">
        <f>ROUND(J8/D8,2)</f>
        <v>0</v>
      </c>
      <c r="H8" s="59">
        <f>ROUND(K8/E8,2)</f>
        <v>0</v>
      </c>
      <c r="I8" s="223">
        <v>0</v>
      </c>
      <c r="J8" s="284">
        <v>0</v>
      </c>
      <c r="K8" s="284">
        <v>0</v>
      </c>
      <c r="M8" s="64"/>
    </row>
    <row r="9" spans="1:13" s="227" customFormat="1" ht="29.25" customHeight="1" x14ac:dyDescent="0.25">
      <c r="A9" s="419" t="s">
        <v>402</v>
      </c>
      <c r="B9" s="420" t="s">
        <v>336</v>
      </c>
      <c r="C9" s="29">
        <v>4</v>
      </c>
      <c r="D9" s="29">
        <v>4</v>
      </c>
      <c r="E9" s="29">
        <v>4</v>
      </c>
      <c r="F9" s="59">
        <v>0</v>
      </c>
      <c r="G9" s="59">
        <v>0</v>
      </c>
      <c r="H9" s="59">
        <v>0</v>
      </c>
      <c r="I9" s="223">
        <v>0</v>
      </c>
      <c r="J9" s="284">
        <v>0</v>
      </c>
      <c r="K9" s="284">
        <v>0</v>
      </c>
      <c r="M9" s="5"/>
    </row>
    <row r="10" spans="1:13" s="227" customFormat="1" ht="29.25" customHeight="1" x14ac:dyDescent="0.25">
      <c r="A10" s="419" t="s">
        <v>403</v>
      </c>
      <c r="B10" s="420" t="s">
        <v>40</v>
      </c>
      <c r="C10" s="29">
        <v>0</v>
      </c>
      <c r="D10" s="29">
        <v>0</v>
      </c>
      <c r="E10" s="29">
        <v>0</v>
      </c>
      <c r="F10" s="59">
        <v>0</v>
      </c>
      <c r="G10" s="59">
        <v>0</v>
      </c>
      <c r="H10" s="59">
        <v>0</v>
      </c>
      <c r="I10" s="223">
        <v>0</v>
      </c>
      <c r="J10" s="284">
        <v>0</v>
      </c>
      <c r="K10" s="284">
        <v>0</v>
      </c>
      <c r="M10" s="64"/>
    </row>
    <row r="11" spans="1:13" ht="25.5" customHeight="1" x14ac:dyDescent="0.2">
      <c r="A11" s="275" t="s">
        <v>71</v>
      </c>
      <c r="B11" s="32"/>
      <c r="C11" s="31" t="s">
        <v>14</v>
      </c>
      <c r="D11" s="31" t="s">
        <v>14</v>
      </c>
      <c r="E11" s="31" t="s">
        <v>14</v>
      </c>
      <c r="F11" s="31" t="s">
        <v>14</v>
      </c>
      <c r="G11" s="31" t="s">
        <v>14</v>
      </c>
      <c r="H11" s="31" t="s">
        <v>14</v>
      </c>
      <c r="I11" s="56">
        <f>SUM(I8:I10)</f>
        <v>0</v>
      </c>
      <c r="J11" s="56">
        <f>SUM(J8:J10)</f>
        <v>0</v>
      </c>
      <c r="K11" s="56">
        <f>SUM(K8:K10)</f>
        <v>0</v>
      </c>
      <c r="L11" s="224"/>
      <c r="M11" s="21"/>
    </row>
    <row r="12" spans="1:13" ht="15" customHeight="1" x14ac:dyDescent="0.2">
      <c r="A12" s="5"/>
      <c r="B12" s="5"/>
      <c r="C12" s="5"/>
      <c r="D12" s="5"/>
      <c r="E12" s="5"/>
      <c r="F12" s="5"/>
      <c r="G12" s="5"/>
      <c r="H12" s="5"/>
      <c r="I12" s="64">
        <v>0</v>
      </c>
      <c r="J12" s="5"/>
      <c r="K12" s="5"/>
      <c r="M12" s="5"/>
    </row>
  </sheetData>
  <customSheetViews>
    <customSheetView guid="{DC13F25B-CAA7-4E25-AFF1-0DCF9AD75BDE}" scale="110" showPageBreaks="1" printArea="1" view="pageBreakPreview" topLeftCell="E1">
      <selection activeCell="J8" sqref="J8:K8"/>
      <pageMargins left="0.59055118110236227" right="0.51181102362204722" top="1.1811023622047245" bottom="0.39370078740157483" header="0.19685039370078741" footer="0.19685039370078741"/>
      <printOptions horizontalCentered="1"/>
      <pageSetup paperSize="9" firstPageNumber="25" orientation="landscape" useFirstPageNumber="1" r:id="rId1"/>
      <headerFooter alignWithMargins="0"/>
    </customSheetView>
    <customSheetView guid="{6AD2622C-AF85-4997-AA93-A54C85AD6D68}" scale="110" showPageBreaks="1" printArea="1" view="pageBreakPreview">
      <selection activeCell="L17" sqref="L17"/>
      <pageMargins left="0.59055118110236227" right="0.51181102362204722" top="1.1811023622047245" bottom="0.39370078740157483" header="0.19685039370078741" footer="0.19685039370078741"/>
      <printOptions horizontalCentered="1"/>
      <pageSetup paperSize="9" firstPageNumber="25" orientation="landscape" useFirstPageNumber="1" r:id="rId2"/>
      <headerFooter alignWithMargins="0">
        <oddHeader>&amp;C&amp;"Times New Roman,обычный"&amp;12&amp;P</oddHeader>
      </headerFooter>
    </customSheetView>
    <customSheetView guid="{C88A4605-0F8D-4713-9317-AF13632C8FA6}" scale="110" showPageBreaks="1" printArea="1" view="pageBreakPreview">
      <selection activeCell="L17" sqref="L17"/>
      <pageMargins left="0.59055118110236227" right="0.51181102362204722" top="1.1811023622047245" bottom="0.39370078740157483" header="0.19685039370078741" footer="0.19685039370078741"/>
      <printOptions horizontalCentered="1"/>
      <pageSetup paperSize="9" firstPageNumber="25" orientation="landscape" useFirstPageNumber="1" r:id="rId3"/>
      <headerFooter alignWithMargins="0">
        <oddHeader>&amp;C&amp;"Times New Roman,обычный"&amp;12&amp;P</oddHeader>
      </headerFooter>
    </customSheetView>
    <customSheetView guid="{84CC8968-6D7C-41C4-B973-ECD381BB63FC}" scale="110" showPageBreaks="1" printArea="1" state="hidden" view="pageBreakPreview">
      <selection activeCell="N10" sqref="N10"/>
      <pageMargins left="0.59055118110236227" right="0.51181102362204722" top="1.1811023622047245" bottom="0.39370078740157483" header="0.19685039370078741" footer="0.19685039370078741"/>
      <printOptions horizontalCentered="1"/>
      <pageSetup paperSize="9" firstPageNumber="25" orientation="landscape" useFirstPageNumber="1" r:id="rId4"/>
      <headerFooter alignWithMargins="0"/>
    </customSheetView>
    <customSheetView guid="{C47F8591-E97A-4739-B299-8B7B5E22A2DD}" scale="110" showPageBreaks="1" printArea="1" view="pageBreakPreview" topLeftCell="E1">
      <selection activeCell="J8" sqref="J8:K8"/>
      <pageMargins left="0.59055118110236227" right="0.51181102362204722" top="1.1811023622047245" bottom="0.39370078740157483" header="0.19685039370078741" footer="0.19685039370078741"/>
      <printOptions horizontalCentered="1"/>
      <pageSetup paperSize="9" firstPageNumber="25" orientation="landscape" useFirstPageNumber="1" r:id="rId5"/>
      <headerFooter alignWithMargins="0"/>
    </customSheetView>
  </customSheetViews>
  <mergeCells count="6">
    <mergeCell ref="A2:K2"/>
    <mergeCell ref="C4:E4"/>
    <mergeCell ref="F4:H4"/>
    <mergeCell ref="I4:K4"/>
    <mergeCell ref="A4:A6"/>
    <mergeCell ref="B4:B6"/>
  </mergeCells>
  <printOptions horizontalCentered="1"/>
  <pageMargins left="0.59055118110236227" right="0.51181102362204722" top="1.1811023622047245" bottom="0.39370078740157483" header="0.19685039370078741" footer="0.19685039370078741"/>
  <pageSetup paperSize="9" firstPageNumber="25" orientation="landscape" useFirstPageNumber="1" r:id="rId6"/>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view="pageBreakPreview" zoomScaleNormal="120" zoomScaleSheetLayoutView="100" workbookViewId="0">
      <selection activeCell="E22" sqref="E22"/>
    </sheetView>
  </sheetViews>
  <sheetFormatPr defaultColWidth="0.85546875" defaultRowHeight="12.75" x14ac:dyDescent="0.2"/>
  <cols>
    <col min="1" max="1" width="30.7109375" style="6" customWidth="1"/>
    <col min="2" max="2" width="6.42578125" style="6" customWidth="1"/>
    <col min="3" max="3" width="11.28515625" style="6" customWidth="1"/>
    <col min="4" max="4" width="10.28515625" style="6" customWidth="1"/>
    <col min="5" max="5" width="10.42578125" style="6" customWidth="1"/>
    <col min="6" max="6" width="9.5703125" style="6" customWidth="1"/>
    <col min="7" max="7" width="11.28515625" style="6" customWidth="1"/>
    <col min="8" max="8" width="11.140625" style="6" customWidth="1"/>
    <col min="9" max="9" width="12.140625" style="6" customWidth="1"/>
    <col min="10" max="10" width="12.85546875" style="6" customWidth="1"/>
    <col min="11" max="11" width="13.42578125" style="6" customWidth="1"/>
    <col min="12" max="12" width="13" style="6" customWidth="1"/>
    <col min="13" max="13" width="11.85546875" style="6" customWidth="1"/>
    <col min="14" max="16384" width="0.85546875" style="6"/>
  </cols>
  <sheetData>
    <row r="1" spans="1:13" s="227" customFormat="1" ht="14.25" customHeight="1" x14ac:dyDescent="0.25">
      <c r="A1" s="628" t="s">
        <v>150</v>
      </c>
      <c r="B1" s="628"/>
      <c r="C1" s="628"/>
      <c r="D1" s="628"/>
      <c r="E1" s="628"/>
      <c r="F1" s="628"/>
      <c r="G1" s="628"/>
      <c r="H1" s="628"/>
      <c r="I1" s="628"/>
      <c r="J1" s="628"/>
      <c r="K1" s="628"/>
    </row>
    <row r="2" spans="1:13" ht="12" customHeight="1" x14ac:dyDescent="0.2">
      <c r="A2" s="5"/>
      <c r="B2" s="5"/>
      <c r="C2" s="5"/>
      <c r="D2" s="5"/>
      <c r="E2" s="5"/>
      <c r="F2" s="5"/>
      <c r="G2" s="5"/>
      <c r="H2" s="5"/>
      <c r="I2" s="5"/>
      <c r="J2" s="5"/>
      <c r="K2" s="5"/>
    </row>
    <row r="3" spans="1:13" s="9" customFormat="1" ht="23.25" customHeight="1" x14ac:dyDescent="0.2">
      <c r="A3" s="677" t="s">
        <v>1</v>
      </c>
      <c r="B3" s="675" t="s">
        <v>2</v>
      </c>
      <c r="C3" s="675" t="s">
        <v>151</v>
      </c>
      <c r="D3" s="675"/>
      <c r="E3" s="675"/>
      <c r="F3" s="676" t="s">
        <v>152</v>
      </c>
      <c r="G3" s="676"/>
      <c r="H3" s="676"/>
      <c r="I3" s="676" t="s">
        <v>21</v>
      </c>
      <c r="J3" s="676"/>
      <c r="K3" s="676"/>
    </row>
    <row r="4" spans="1:13" s="9" customFormat="1" x14ac:dyDescent="0.2">
      <c r="A4" s="677"/>
      <c r="B4" s="675"/>
      <c r="C4" s="249" t="s">
        <v>477</v>
      </c>
      <c r="D4" s="249" t="s">
        <v>552</v>
      </c>
      <c r="E4" s="249" t="s">
        <v>578</v>
      </c>
      <c r="F4" s="249" t="s">
        <v>477</v>
      </c>
      <c r="G4" s="249" t="s">
        <v>552</v>
      </c>
      <c r="H4" s="249" t="s">
        <v>578</v>
      </c>
      <c r="I4" s="249" t="s">
        <v>477</v>
      </c>
      <c r="J4" s="249" t="s">
        <v>552</v>
      </c>
      <c r="K4" s="249" t="s">
        <v>578</v>
      </c>
    </row>
    <row r="5" spans="1:13" s="9" customFormat="1" ht="42.6" customHeight="1" x14ac:dyDescent="0.2">
      <c r="A5" s="677"/>
      <c r="B5" s="675"/>
      <c r="C5" s="249" t="s">
        <v>3</v>
      </c>
      <c r="D5" s="249" t="s">
        <v>4</v>
      </c>
      <c r="E5" s="249" t="s">
        <v>5</v>
      </c>
      <c r="F5" s="249" t="s">
        <v>3</v>
      </c>
      <c r="G5" s="249" t="s">
        <v>4</v>
      </c>
      <c r="H5" s="249" t="s">
        <v>5</v>
      </c>
      <c r="I5" s="249" t="s">
        <v>3</v>
      </c>
      <c r="J5" s="249" t="s">
        <v>4</v>
      </c>
      <c r="K5" s="249" t="s">
        <v>5</v>
      </c>
    </row>
    <row r="6" spans="1:13" s="9" customFormat="1" x14ac:dyDescent="0.2">
      <c r="A6" s="278">
        <v>1</v>
      </c>
      <c r="B6" s="278">
        <v>2</v>
      </c>
      <c r="C6" s="278">
        <v>3</v>
      </c>
      <c r="D6" s="278">
        <v>4</v>
      </c>
      <c r="E6" s="278">
        <v>5</v>
      </c>
      <c r="F6" s="278">
        <v>6</v>
      </c>
      <c r="G6" s="278">
        <v>7</v>
      </c>
      <c r="H6" s="278">
        <v>8</v>
      </c>
      <c r="I6" s="278">
        <v>9</v>
      </c>
      <c r="J6" s="278">
        <v>10</v>
      </c>
      <c r="K6" s="278">
        <v>11</v>
      </c>
    </row>
    <row r="7" spans="1:13" s="289" customFormat="1" ht="15.75" customHeight="1" x14ac:dyDescent="0.2">
      <c r="A7" s="295" t="s">
        <v>599</v>
      </c>
      <c r="B7" s="169" t="s">
        <v>10</v>
      </c>
      <c r="C7" s="170"/>
      <c r="D7" s="170"/>
      <c r="E7" s="170"/>
      <c r="F7" s="171"/>
      <c r="G7" s="171"/>
      <c r="H7" s="171"/>
      <c r="I7" s="296">
        <f>I8+I9</f>
        <v>407181.33</v>
      </c>
      <c r="J7" s="296">
        <f t="shared" ref="J7:K7" si="0">J8+J9</f>
        <v>387979</v>
      </c>
      <c r="K7" s="296">
        <f t="shared" si="0"/>
        <v>387979</v>
      </c>
    </row>
    <row r="8" spans="1:13" s="9" customFormat="1" ht="15.75" customHeight="1" x14ac:dyDescent="0.2">
      <c r="A8" s="172" t="s">
        <v>153</v>
      </c>
      <c r="B8" s="169" t="s">
        <v>11</v>
      </c>
      <c r="C8" s="170">
        <f>ROUND(I8/F8,2)</f>
        <v>10903.29</v>
      </c>
      <c r="D8" s="170">
        <f t="shared" ref="C8:E9" si="1">ROUND(J8/G8,2)</f>
        <v>10125.56</v>
      </c>
      <c r="E8" s="170">
        <f t="shared" si="1"/>
        <v>10125.56</v>
      </c>
      <c r="F8" s="171">
        <f>(20.17+20.98)/2*1.2</f>
        <v>24.69</v>
      </c>
      <c r="G8" s="171">
        <f t="shared" ref="G8:H9" si="2">F8</f>
        <v>24.69</v>
      </c>
      <c r="H8" s="171">
        <f t="shared" si="2"/>
        <v>24.69</v>
      </c>
      <c r="I8" s="250">
        <v>269202.33</v>
      </c>
      <c r="J8" s="284">
        <v>250000</v>
      </c>
      <c r="K8" s="284">
        <v>250000</v>
      </c>
    </row>
    <row r="9" spans="1:13" s="160" customFormat="1" ht="15" customHeight="1" x14ac:dyDescent="0.2">
      <c r="A9" s="172" t="s">
        <v>154</v>
      </c>
      <c r="B9" s="169" t="s">
        <v>12</v>
      </c>
      <c r="C9" s="170">
        <f t="shared" si="1"/>
        <v>110.74</v>
      </c>
      <c r="D9" s="170">
        <f t="shared" si="1"/>
        <v>110.74</v>
      </c>
      <c r="E9" s="170">
        <f t="shared" si="1"/>
        <v>110.74</v>
      </c>
      <c r="F9" s="171">
        <f>(1264.46+1227.42)/2</f>
        <v>1245.94</v>
      </c>
      <c r="G9" s="171">
        <f t="shared" si="2"/>
        <v>1245.94</v>
      </c>
      <c r="H9" s="171">
        <f t="shared" si="2"/>
        <v>1245.94</v>
      </c>
      <c r="I9" s="250">
        <v>137979</v>
      </c>
      <c r="J9" s="284">
        <v>137979</v>
      </c>
      <c r="K9" s="284">
        <v>137979</v>
      </c>
      <c r="L9" s="21"/>
    </row>
    <row r="10" spans="1:13" s="289" customFormat="1" ht="15" customHeight="1" x14ac:dyDescent="0.2">
      <c r="A10" s="295" t="s">
        <v>600</v>
      </c>
      <c r="B10" s="169" t="s">
        <v>22</v>
      </c>
      <c r="C10" s="278"/>
      <c r="D10" s="278"/>
      <c r="E10" s="278"/>
      <c r="F10" s="278"/>
      <c r="G10" s="278"/>
      <c r="H10" s="278"/>
      <c r="I10" s="296">
        <f>I11+I12</f>
        <v>3303217.1</v>
      </c>
      <c r="J10" s="296">
        <f>J11+J12</f>
        <v>2800000</v>
      </c>
      <c r="K10" s="296">
        <f>K11+K12</f>
        <v>2800000</v>
      </c>
      <c r="L10" s="21"/>
    </row>
    <row r="11" spans="1:13" s="289" customFormat="1" ht="15" customHeight="1" x14ac:dyDescent="0.2">
      <c r="A11" s="168" t="s">
        <v>570</v>
      </c>
      <c r="B11" s="169" t="s">
        <v>23</v>
      </c>
      <c r="C11" s="170">
        <f>ROUND(I11/F11,2)</f>
        <v>1117.22</v>
      </c>
      <c r="D11" s="170">
        <f t="shared" ref="D11:D12" si="3">ROUND(J11/G11,2)</f>
        <v>849.91</v>
      </c>
      <c r="E11" s="170">
        <f t="shared" ref="E11:E12" si="4">ROUND(K11/H11,2)</f>
        <v>849.91</v>
      </c>
      <c r="F11" s="171">
        <f>(1865.42+1899.68)/2</f>
        <v>1882.5500000000002</v>
      </c>
      <c r="G11" s="171">
        <f t="shared" ref="G11:G12" si="5">F11</f>
        <v>1882.5500000000002</v>
      </c>
      <c r="H11" s="171">
        <f t="shared" ref="H11:H12" si="6">G11</f>
        <v>1882.5500000000002</v>
      </c>
      <c r="I11" s="250">
        <v>2103217.1</v>
      </c>
      <c r="J11" s="284">
        <v>1600000</v>
      </c>
      <c r="K11" s="284">
        <v>1600000</v>
      </c>
      <c r="L11" s="21"/>
    </row>
    <row r="12" spans="1:13" s="289" customFormat="1" ht="15" customHeight="1" x14ac:dyDescent="0.2">
      <c r="A12" s="168" t="s">
        <v>571</v>
      </c>
      <c r="B12" s="169" t="s">
        <v>24</v>
      </c>
      <c r="C12" s="170">
        <f>ROUND(I12/F12,2)</f>
        <v>142348.75</v>
      </c>
      <c r="D12" s="170">
        <f t="shared" si="3"/>
        <v>142348.75</v>
      </c>
      <c r="E12" s="170">
        <f t="shared" si="4"/>
        <v>142348.75</v>
      </c>
      <c r="F12" s="171">
        <v>8.43</v>
      </c>
      <c r="G12" s="171">
        <f t="shared" si="5"/>
        <v>8.43</v>
      </c>
      <c r="H12" s="171">
        <f t="shared" si="6"/>
        <v>8.43</v>
      </c>
      <c r="I12" s="250">
        <v>1200000</v>
      </c>
      <c r="J12" s="284">
        <v>1200000</v>
      </c>
      <c r="K12" s="284">
        <v>1200000</v>
      </c>
      <c r="L12" s="21"/>
    </row>
    <row r="13" spans="1:13" s="346" customFormat="1" ht="68.25" customHeight="1" x14ac:dyDescent="0.2">
      <c r="A13" s="168" t="s">
        <v>625</v>
      </c>
      <c r="B13" s="169" t="s">
        <v>25</v>
      </c>
      <c r="C13" s="170"/>
      <c r="D13" s="170"/>
      <c r="E13" s="170"/>
      <c r="F13" s="171"/>
      <c r="G13" s="171"/>
      <c r="H13" s="171"/>
      <c r="I13" s="250"/>
      <c r="J13" s="284"/>
      <c r="K13" s="284"/>
      <c r="L13" s="21"/>
    </row>
    <row r="14" spans="1:13" s="346" customFormat="1" ht="68.25" customHeight="1" x14ac:dyDescent="0.2">
      <c r="A14" s="168" t="s">
        <v>626</v>
      </c>
      <c r="B14" s="169" t="s">
        <v>26</v>
      </c>
      <c r="C14" s="170"/>
      <c r="D14" s="170"/>
      <c r="E14" s="170"/>
      <c r="F14" s="171"/>
      <c r="G14" s="171"/>
      <c r="H14" s="171"/>
      <c r="I14" s="250"/>
      <c r="J14" s="284"/>
      <c r="K14" s="284"/>
      <c r="L14" s="21"/>
    </row>
    <row r="15" spans="1:13" s="346" customFormat="1" ht="68.25" customHeight="1" x14ac:dyDescent="0.2">
      <c r="A15" s="168"/>
      <c r="B15" s="169" t="s">
        <v>27</v>
      </c>
      <c r="C15" s="170"/>
      <c r="D15" s="170"/>
      <c r="E15" s="170"/>
      <c r="F15" s="171"/>
      <c r="G15" s="171"/>
      <c r="H15" s="171"/>
      <c r="I15" s="250"/>
      <c r="J15" s="284"/>
      <c r="K15" s="284"/>
      <c r="L15" s="21"/>
    </row>
    <row r="16" spans="1:13" s="9" customFormat="1" x14ac:dyDescent="0.2">
      <c r="A16" s="173" t="s">
        <v>71</v>
      </c>
      <c r="B16" s="173" t="s">
        <v>14</v>
      </c>
      <c r="C16" s="173" t="s">
        <v>14</v>
      </c>
      <c r="D16" s="173" t="s">
        <v>14</v>
      </c>
      <c r="E16" s="173" t="s">
        <v>14</v>
      </c>
      <c r="F16" s="173" t="s">
        <v>14</v>
      </c>
      <c r="G16" s="173" t="s">
        <v>14</v>
      </c>
      <c r="H16" s="173" t="s">
        <v>14</v>
      </c>
      <c r="I16" s="174">
        <f>SUM(I11:I12)+SUM(I8:I9)</f>
        <v>3710398.43</v>
      </c>
      <c r="J16" s="174">
        <f t="shared" ref="J16:K16" si="7">SUM(J11:J12)+SUM(J8:J9)</f>
        <v>3187979</v>
      </c>
      <c r="K16" s="174">
        <f t="shared" si="7"/>
        <v>3187979</v>
      </c>
      <c r="L16" s="21"/>
      <c r="M16" s="21"/>
    </row>
    <row r="17" spans="1:11" x14ac:dyDescent="0.2">
      <c r="A17" s="245"/>
      <c r="B17" s="241"/>
      <c r="C17" s="245"/>
      <c r="D17" s="245"/>
      <c r="E17" s="245"/>
      <c r="F17" s="245"/>
      <c r="G17" s="245"/>
      <c r="H17" s="245"/>
      <c r="I17" s="243">
        <v>3710398.43</v>
      </c>
      <c r="J17" s="243">
        <v>3187979</v>
      </c>
      <c r="K17" s="243">
        <v>3187979</v>
      </c>
    </row>
    <row r="18" spans="1:11" x14ac:dyDescent="0.2">
      <c r="A18" s="240"/>
      <c r="B18" s="241"/>
      <c r="C18" s="242"/>
      <c r="D18" s="242"/>
      <c r="E18" s="242"/>
      <c r="F18" s="243"/>
      <c r="G18" s="243"/>
      <c r="H18" s="243"/>
      <c r="I18" s="244"/>
      <c r="J18" s="243"/>
      <c r="K18" s="243"/>
    </row>
    <row r="19" spans="1:11" x14ac:dyDescent="0.2">
      <c r="A19" s="245"/>
      <c r="B19" s="241"/>
      <c r="C19" s="242"/>
      <c r="D19" s="242"/>
      <c r="E19" s="242"/>
      <c r="F19" s="243"/>
      <c r="G19" s="243"/>
      <c r="H19" s="243"/>
      <c r="I19" s="244"/>
      <c r="J19" s="243"/>
      <c r="K19" s="243"/>
    </row>
    <row r="20" spans="1:11" x14ac:dyDescent="0.2">
      <c r="A20" s="245"/>
      <c r="B20" s="241"/>
      <c r="C20" s="245"/>
      <c r="D20" s="245"/>
      <c r="E20" s="245"/>
      <c r="F20" s="245"/>
      <c r="G20" s="245"/>
      <c r="H20" s="245"/>
      <c r="I20" s="243"/>
      <c r="J20" s="243"/>
      <c r="K20" s="243"/>
    </row>
    <row r="21" spans="1:11" x14ac:dyDescent="0.2">
      <c r="A21" s="246"/>
      <c r="B21" s="241"/>
      <c r="C21" s="245"/>
      <c r="D21" s="245"/>
      <c r="E21" s="245"/>
      <c r="F21" s="245"/>
      <c r="G21" s="245"/>
      <c r="H21" s="245"/>
      <c r="I21" s="243"/>
      <c r="J21" s="243"/>
      <c r="K21" s="243"/>
    </row>
    <row r="22" spans="1:11" x14ac:dyDescent="0.2">
      <c r="A22" s="245"/>
      <c r="B22" s="241"/>
      <c r="C22" s="242"/>
      <c r="D22" s="242"/>
      <c r="E22" s="242"/>
      <c r="F22" s="243"/>
      <c r="G22" s="243"/>
      <c r="H22" s="243"/>
      <c r="I22" s="244"/>
      <c r="J22" s="243"/>
      <c r="K22" s="243"/>
    </row>
    <row r="23" spans="1:11" x14ac:dyDescent="0.2">
      <c r="A23" s="245"/>
      <c r="B23" s="241"/>
      <c r="C23" s="245"/>
      <c r="D23" s="245"/>
      <c r="E23" s="245"/>
      <c r="F23" s="245"/>
      <c r="G23" s="245"/>
      <c r="H23" s="245"/>
      <c r="I23" s="243"/>
      <c r="J23" s="243"/>
      <c r="K23" s="243"/>
    </row>
    <row r="24" spans="1:11" x14ac:dyDescent="0.2">
      <c r="A24" s="245"/>
      <c r="B24" s="241"/>
      <c r="C24" s="245"/>
      <c r="D24" s="245"/>
      <c r="E24" s="245"/>
      <c r="F24" s="245"/>
      <c r="G24" s="245"/>
      <c r="H24" s="245"/>
      <c r="I24" s="243"/>
      <c r="J24" s="243"/>
      <c r="K24" s="243"/>
    </row>
    <row r="25" spans="1:11" x14ac:dyDescent="0.2">
      <c r="A25" s="247"/>
      <c r="B25" s="247"/>
      <c r="C25" s="247"/>
      <c r="D25" s="247"/>
      <c r="E25" s="247"/>
      <c r="F25" s="247"/>
      <c r="G25" s="247"/>
      <c r="H25" s="247"/>
      <c r="I25" s="248"/>
      <c r="J25" s="248"/>
      <c r="K25" s="248"/>
    </row>
  </sheetData>
  <customSheetViews>
    <customSheetView guid="{DC13F25B-CAA7-4E25-AFF1-0DCF9AD75BDE}" showPageBreaks="1" printArea="1" view="pageBreakPreview">
      <selection activeCell="J8" sqref="J8:K8"/>
      <pageMargins left="0.59055118110236227" right="0.51181102362204722" top="1.1811023622047245" bottom="0.39370078740157483" header="0.19685039370078741" footer="0.19685039370078741"/>
      <printOptions horizontalCentered="1"/>
      <pageSetup paperSize="9" scale="98" firstPageNumber="25" orientation="landscape" useFirstPageNumber="1" r:id="rId1"/>
      <headerFooter alignWithMargins="0"/>
    </customSheetView>
    <customSheetView guid="{6AD2622C-AF85-4997-AA93-A54C85AD6D68}" showPageBreaks="1" printArea="1" view="pageBreakPreview">
      <selection activeCell="K28" sqref="K28"/>
      <pageMargins left="0.59055118110236227" right="0.51181102362204722" top="1.1811023622047245" bottom="0.39370078740157483" header="0.19685039370078741" footer="0.19685039370078741"/>
      <printOptions horizontalCentered="1"/>
      <pageSetup paperSize="9" firstPageNumber="25" orientation="landscape" useFirstPageNumber="1" r:id="rId2"/>
      <headerFooter alignWithMargins="0">
        <oddHeader>&amp;C&amp;"Times New Roman,обычный"&amp;12&amp;P</oddHeader>
      </headerFooter>
    </customSheetView>
    <customSheetView guid="{C88A4605-0F8D-4713-9317-AF13632C8FA6}" showPageBreaks="1" printArea="1" view="pageBreakPreview">
      <selection activeCell="K28" sqref="K28"/>
      <pageMargins left="0.59055118110236227" right="0.51181102362204722" top="1.1811023622047245" bottom="0.39370078740157483" header="0.19685039370078741" footer="0.19685039370078741"/>
      <printOptions horizontalCentered="1"/>
      <pageSetup paperSize="9" firstPageNumber="25" orientation="landscape" useFirstPageNumber="1" r:id="rId3"/>
      <headerFooter alignWithMargins="0">
        <oddHeader>&amp;C&amp;"Times New Roman,обычный"&amp;12&amp;P</oddHeader>
      </headerFooter>
    </customSheetView>
    <customSheetView guid="{84CC8968-6D7C-41C4-B973-ECD381BB63FC}" showPageBreaks="1" printArea="1" state="hidden" view="pageBreakPreview">
      <selection activeCell="N10" sqref="N10"/>
      <pageMargins left="0.59055118110236227" right="0.51181102362204722" top="1.1811023622047245" bottom="0.39370078740157483" header="0.19685039370078741" footer="0.19685039370078741"/>
      <printOptions horizontalCentered="1"/>
      <pageSetup paperSize="9" scale="98" firstPageNumber="25" orientation="landscape" useFirstPageNumber="1" r:id="rId4"/>
      <headerFooter alignWithMargins="0"/>
    </customSheetView>
    <customSheetView guid="{C47F8591-E97A-4739-B299-8B7B5E22A2DD}" showPageBreaks="1" printArea="1" view="pageBreakPreview">
      <selection activeCell="J8" sqref="J8:K8"/>
      <pageMargins left="0.59055118110236227" right="0.51181102362204722" top="1.1811023622047245" bottom="0.39370078740157483" header="0.19685039370078741" footer="0.19685039370078741"/>
      <printOptions horizontalCentered="1"/>
      <pageSetup paperSize="9" scale="98" firstPageNumber="25" orientation="landscape" useFirstPageNumber="1" r:id="rId5"/>
      <headerFooter alignWithMargins="0"/>
    </customSheetView>
  </customSheetViews>
  <mergeCells count="6">
    <mergeCell ref="A1:K1"/>
    <mergeCell ref="C3:E3"/>
    <mergeCell ref="F3:H3"/>
    <mergeCell ref="I3:K3"/>
    <mergeCell ref="A3:A5"/>
    <mergeCell ref="B3:B5"/>
  </mergeCells>
  <printOptions horizontalCentered="1"/>
  <pageMargins left="0.59055118110236227" right="0.51181102362204722" top="1.1811023622047245" bottom="0.39370078740157483" header="0.19685039370078741" footer="0.19685039370078741"/>
  <pageSetup paperSize="9" scale="98" firstPageNumber="25" orientation="landscape" useFirstPageNumber="1" r:id="rId6"/>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0"/>
  <sheetViews>
    <sheetView workbookViewId="0">
      <selection activeCell="E22" sqref="E22"/>
    </sheetView>
  </sheetViews>
  <sheetFormatPr defaultRowHeight="12.75" x14ac:dyDescent="0.2"/>
  <cols>
    <col min="1" max="1" width="13.28515625" customWidth="1"/>
    <col min="3" max="14" width="11.85546875" customWidth="1"/>
  </cols>
  <sheetData>
    <row r="2" spans="1:14" x14ac:dyDescent="0.2">
      <c r="A2" s="678" t="s">
        <v>728</v>
      </c>
      <c r="B2" s="678"/>
      <c r="C2" s="678"/>
      <c r="D2" s="678"/>
      <c r="E2" s="678"/>
      <c r="F2" s="678"/>
      <c r="G2" s="678"/>
      <c r="H2" s="678"/>
      <c r="I2" s="678"/>
      <c r="J2" s="678"/>
      <c r="K2" s="678"/>
      <c r="L2" s="678"/>
    </row>
    <row r="4" spans="1:14" x14ac:dyDescent="0.2">
      <c r="A4" s="679" t="s">
        <v>1</v>
      </c>
      <c r="B4" s="373" t="s">
        <v>632</v>
      </c>
      <c r="C4" s="679" t="s">
        <v>729</v>
      </c>
      <c r="D4" s="679"/>
      <c r="E4" s="679"/>
      <c r="F4" s="679" t="s">
        <v>730</v>
      </c>
      <c r="G4" s="679"/>
      <c r="H4" s="679"/>
      <c r="I4" s="679" t="s">
        <v>731</v>
      </c>
      <c r="J4" s="679"/>
      <c r="K4" s="679"/>
      <c r="L4" s="679" t="s">
        <v>21</v>
      </c>
      <c r="M4" s="679"/>
      <c r="N4" s="679"/>
    </row>
    <row r="5" spans="1:14" x14ac:dyDescent="0.2">
      <c r="A5" s="679"/>
      <c r="B5" s="373" t="s">
        <v>633</v>
      </c>
      <c r="C5" s="371" t="s">
        <v>477</v>
      </c>
      <c r="D5" s="371" t="s">
        <v>552</v>
      </c>
      <c r="E5" s="371" t="s">
        <v>578</v>
      </c>
      <c r="F5" s="371" t="s">
        <v>477</v>
      </c>
      <c r="G5" s="371" t="s">
        <v>552</v>
      </c>
      <c r="H5" s="371" t="s">
        <v>578</v>
      </c>
      <c r="I5" s="371" t="s">
        <v>477</v>
      </c>
      <c r="J5" s="371" t="s">
        <v>552</v>
      </c>
      <c r="K5" s="371" t="s">
        <v>578</v>
      </c>
      <c r="L5" s="371" t="s">
        <v>477</v>
      </c>
      <c r="M5" s="371" t="s">
        <v>552</v>
      </c>
      <c r="N5" s="371" t="s">
        <v>578</v>
      </c>
    </row>
    <row r="6" spans="1:14" ht="38.25" x14ac:dyDescent="0.2">
      <c r="A6" s="679"/>
      <c r="B6" s="374"/>
      <c r="C6" s="373" t="s">
        <v>3</v>
      </c>
      <c r="D6" s="373" t="s">
        <v>4</v>
      </c>
      <c r="E6" s="373" t="s">
        <v>5</v>
      </c>
      <c r="F6" s="373" t="s">
        <v>3</v>
      </c>
      <c r="G6" s="373" t="s">
        <v>4</v>
      </c>
      <c r="H6" s="373" t="s">
        <v>5</v>
      </c>
      <c r="I6" s="373" t="s">
        <v>3</v>
      </c>
      <c r="J6" s="373" t="s">
        <v>4</v>
      </c>
      <c r="K6" s="373" t="s">
        <v>5</v>
      </c>
      <c r="L6" s="373" t="s">
        <v>3</v>
      </c>
      <c r="M6" s="373" t="s">
        <v>4</v>
      </c>
      <c r="N6" s="373" t="s">
        <v>5</v>
      </c>
    </row>
    <row r="7" spans="1:14" x14ac:dyDescent="0.2">
      <c r="A7" s="390">
        <v>1</v>
      </c>
      <c r="B7" s="390">
        <v>2</v>
      </c>
      <c r="C7" s="390">
        <v>3</v>
      </c>
      <c r="D7" s="390">
        <v>4</v>
      </c>
      <c r="E7" s="390">
        <v>5</v>
      </c>
      <c r="F7" s="390">
        <v>6</v>
      </c>
      <c r="G7" s="390">
        <v>7</v>
      </c>
      <c r="H7" s="390">
        <v>8</v>
      </c>
      <c r="I7" s="390">
        <v>9</v>
      </c>
      <c r="J7" s="390">
        <v>10</v>
      </c>
      <c r="K7" s="390">
        <v>11</v>
      </c>
      <c r="L7" s="390">
        <v>12</v>
      </c>
      <c r="M7" s="390">
        <v>13</v>
      </c>
      <c r="N7" s="390">
        <v>14</v>
      </c>
    </row>
    <row r="8" spans="1:14" ht="15.75" x14ac:dyDescent="0.2">
      <c r="A8" s="395"/>
      <c r="B8" s="391">
        <v>1</v>
      </c>
      <c r="C8" s="395"/>
      <c r="D8" s="395"/>
      <c r="E8" s="395"/>
      <c r="F8" s="395"/>
      <c r="G8" s="395"/>
      <c r="H8" s="395"/>
      <c r="I8" s="395"/>
      <c r="J8" s="395"/>
      <c r="K8" s="395"/>
      <c r="L8" s="395"/>
      <c r="M8" s="395"/>
      <c r="N8" s="395"/>
    </row>
    <row r="9" spans="1:14" ht="15.75" x14ac:dyDescent="0.2">
      <c r="A9" s="395"/>
      <c r="B9" s="391">
        <v>2</v>
      </c>
      <c r="C9" s="395"/>
      <c r="D9" s="395"/>
      <c r="E9" s="395"/>
      <c r="F9" s="395"/>
      <c r="G9" s="395"/>
      <c r="H9" s="395"/>
      <c r="I9" s="395"/>
      <c r="J9" s="395"/>
      <c r="K9" s="395"/>
      <c r="L9" s="395"/>
      <c r="M9" s="395"/>
      <c r="N9" s="395"/>
    </row>
    <row r="10" spans="1:14" ht="15.75" x14ac:dyDescent="0.25">
      <c r="A10" s="383" t="s">
        <v>13</v>
      </c>
      <c r="B10" s="384">
        <v>9000</v>
      </c>
      <c r="C10" s="391" t="s">
        <v>14</v>
      </c>
      <c r="D10" s="391" t="s">
        <v>14</v>
      </c>
      <c r="E10" s="391" t="s">
        <v>14</v>
      </c>
      <c r="F10" s="391" t="s">
        <v>14</v>
      </c>
      <c r="G10" s="391" t="s">
        <v>14</v>
      </c>
      <c r="H10" s="391" t="s">
        <v>14</v>
      </c>
      <c r="I10" s="391" t="s">
        <v>14</v>
      </c>
      <c r="J10" s="391" t="s">
        <v>14</v>
      </c>
      <c r="K10" s="391" t="s">
        <v>14</v>
      </c>
      <c r="L10" s="395"/>
      <c r="M10" s="395"/>
      <c r="N10" s="395"/>
    </row>
  </sheetData>
  <mergeCells count="6">
    <mergeCell ref="A2:L2"/>
    <mergeCell ref="A4:A6"/>
    <mergeCell ref="C4:E4"/>
    <mergeCell ref="F4:H4"/>
    <mergeCell ref="I4:K4"/>
    <mergeCell ref="L4:N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view="pageBreakPreview" zoomScaleSheetLayoutView="100" workbookViewId="0">
      <pane xSplit="1" ySplit="4" topLeftCell="B38" activePane="bottomRight" state="frozen"/>
      <selection activeCell="E22" sqref="E22"/>
      <selection pane="topRight" activeCell="E22" sqref="E22"/>
      <selection pane="bottomLeft" activeCell="E22" sqref="E22"/>
      <selection pane="bottomRight" activeCell="E22" sqref="E22"/>
    </sheetView>
  </sheetViews>
  <sheetFormatPr defaultRowHeight="12.75" x14ac:dyDescent="0.2"/>
  <cols>
    <col min="1" max="1" width="39.42578125" customWidth="1"/>
    <col min="3" max="3" width="9.5703125" bestFit="1" customWidth="1"/>
    <col min="4" max="4" width="13.28515625" customWidth="1"/>
    <col min="5" max="5" width="11.28515625" customWidth="1"/>
    <col min="7" max="7" width="11.28515625" bestFit="1" customWidth="1"/>
    <col min="8" max="8" width="11.140625" bestFit="1" customWidth="1"/>
    <col min="9" max="9" width="13.85546875" customWidth="1"/>
    <col min="10" max="10" width="14.28515625" customWidth="1"/>
    <col min="11" max="11" width="14" customWidth="1"/>
    <col min="12" max="12" width="12.85546875" customWidth="1"/>
    <col min="13" max="13" width="13" customWidth="1"/>
  </cols>
  <sheetData>
    <row r="1" spans="1:13" ht="18.75" customHeight="1" x14ac:dyDescent="0.2">
      <c r="A1" s="680" t="s">
        <v>30</v>
      </c>
      <c r="B1" s="681"/>
      <c r="C1" s="681"/>
      <c r="D1" s="681"/>
      <c r="E1" s="681"/>
      <c r="F1" s="681"/>
      <c r="G1" s="681"/>
      <c r="H1" s="681"/>
      <c r="I1" s="681"/>
      <c r="J1" s="681"/>
      <c r="K1" s="682"/>
    </row>
    <row r="2" spans="1:13" ht="17.25" customHeight="1" x14ac:dyDescent="0.2">
      <c r="A2" s="679" t="s">
        <v>1</v>
      </c>
      <c r="B2" s="679" t="s">
        <v>129</v>
      </c>
      <c r="C2" s="683" t="s">
        <v>31</v>
      </c>
      <c r="D2" s="683"/>
      <c r="E2" s="683"/>
      <c r="F2" s="684" t="s">
        <v>32</v>
      </c>
      <c r="G2" s="685"/>
      <c r="H2" s="685"/>
      <c r="I2" s="684" t="s">
        <v>21</v>
      </c>
      <c r="J2" s="684"/>
      <c r="K2" s="684"/>
    </row>
    <row r="3" spans="1:13" ht="21" customHeight="1" x14ac:dyDescent="0.2">
      <c r="A3" s="679"/>
      <c r="B3" s="679"/>
      <c r="C3" s="370" t="s">
        <v>477</v>
      </c>
      <c r="D3" s="370" t="s">
        <v>552</v>
      </c>
      <c r="E3" s="370" t="s">
        <v>579</v>
      </c>
      <c r="F3" s="370" t="s">
        <v>477</v>
      </c>
      <c r="G3" s="370" t="s">
        <v>552</v>
      </c>
      <c r="H3" s="370" t="s">
        <v>579</v>
      </c>
      <c r="I3" s="370" t="s">
        <v>477</v>
      </c>
      <c r="J3" s="370" t="s">
        <v>552</v>
      </c>
      <c r="K3" s="370" t="s">
        <v>579</v>
      </c>
      <c r="L3" s="125"/>
      <c r="M3" s="125"/>
    </row>
    <row r="4" spans="1:13" ht="42" customHeight="1" x14ac:dyDescent="0.2">
      <c r="A4" s="679"/>
      <c r="B4" s="679"/>
      <c r="C4" s="411" t="s">
        <v>3</v>
      </c>
      <c r="D4" s="411" t="s">
        <v>4</v>
      </c>
      <c r="E4" s="411" t="s">
        <v>5</v>
      </c>
      <c r="F4" s="411" t="s">
        <v>3</v>
      </c>
      <c r="G4" s="411" t="s">
        <v>4</v>
      </c>
      <c r="H4" s="411" t="s">
        <v>5</v>
      </c>
      <c r="I4" s="411" t="s">
        <v>3</v>
      </c>
      <c r="J4" s="411" t="s">
        <v>4</v>
      </c>
      <c r="K4" s="411" t="s">
        <v>5</v>
      </c>
    </row>
    <row r="5" spans="1:13" x14ac:dyDescent="0.2">
      <c r="A5" s="412">
        <v>1</v>
      </c>
      <c r="B5" s="412">
        <v>2</v>
      </c>
      <c r="C5" s="412">
        <v>3</v>
      </c>
      <c r="D5" s="412">
        <v>4</v>
      </c>
      <c r="E5" s="412">
        <v>5</v>
      </c>
      <c r="F5" s="412">
        <v>6</v>
      </c>
      <c r="G5" s="412">
        <v>7</v>
      </c>
      <c r="H5" s="412">
        <v>8</v>
      </c>
      <c r="I5" s="412">
        <v>9</v>
      </c>
      <c r="J5" s="412">
        <v>10</v>
      </c>
      <c r="K5" s="412">
        <v>11</v>
      </c>
    </row>
    <row r="6" spans="1:13" ht="28.5" customHeight="1" x14ac:dyDescent="0.25">
      <c r="A6" s="377" t="s">
        <v>406</v>
      </c>
      <c r="B6" s="378" t="s">
        <v>335</v>
      </c>
      <c r="C6" s="413">
        <v>1</v>
      </c>
      <c r="D6" s="414">
        <f>C6</f>
        <v>1</v>
      </c>
      <c r="E6" s="414">
        <f>D6</f>
        <v>1</v>
      </c>
      <c r="F6" s="388">
        <v>12</v>
      </c>
      <c r="G6" s="415">
        <f>F6</f>
        <v>12</v>
      </c>
      <c r="H6" s="415">
        <f>G6</f>
        <v>12</v>
      </c>
      <c r="I6" s="393">
        <v>29800</v>
      </c>
      <c r="J6" s="393">
        <v>32100</v>
      </c>
      <c r="K6" s="393">
        <v>32100</v>
      </c>
    </row>
    <row r="7" spans="1:13" ht="23.25" customHeight="1" x14ac:dyDescent="0.25">
      <c r="A7" s="377" t="s">
        <v>684</v>
      </c>
      <c r="B7" s="378" t="s">
        <v>336</v>
      </c>
      <c r="C7" s="413">
        <v>1</v>
      </c>
      <c r="D7" s="414">
        <f t="shared" ref="D7:E22" si="0">C7</f>
        <v>1</v>
      </c>
      <c r="E7" s="414">
        <f t="shared" si="0"/>
        <v>1</v>
      </c>
      <c r="F7" s="388">
        <v>12</v>
      </c>
      <c r="G7" s="415">
        <f t="shared" ref="G7:H22" si="1">F7</f>
        <v>12</v>
      </c>
      <c r="H7" s="415">
        <f t="shared" si="1"/>
        <v>12</v>
      </c>
      <c r="I7" s="393">
        <v>32262.84</v>
      </c>
      <c r="J7" s="393">
        <v>32167.08</v>
      </c>
      <c r="K7" s="393">
        <v>32167.08</v>
      </c>
    </row>
    <row r="8" spans="1:13" ht="36.75" customHeight="1" x14ac:dyDescent="0.25">
      <c r="A8" s="377" t="s">
        <v>685</v>
      </c>
      <c r="B8" s="378" t="s">
        <v>40</v>
      </c>
      <c r="C8" s="413">
        <v>1</v>
      </c>
      <c r="D8" s="414">
        <f t="shared" si="0"/>
        <v>1</v>
      </c>
      <c r="E8" s="414">
        <f t="shared" si="0"/>
        <v>1</v>
      </c>
      <c r="F8" s="388">
        <v>12</v>
      </c>
      <c r="G8" s="415">
        <f t="shared" si="1"/>
        <v>12</v>
      </c>
      <c r="H8" s="415">
        <f t="shared" si="1"/>
        <v>12</v>
      </c>
      <c r="I8" s="393">
        <v>127885.89000000001</v>
      </c>
      <c r="J8" s="393">
        <v>117783.02</v>
      </c>
      <c r="K8" s="393">
        <v>117783.02</v>
      </c>
    </row>
    <row r="9" spans="1:13" ht="33.75" customHeight="1" x14ac:dyDescent="0.25">
      <c r="A9" s="377" t="s">
        <v>686</v>
      </c>
      <c r="B9" s="378" t="s">
        <v>41</v>
      </c>
      <c r="C9" s="413">
        <v>1</v>
      </c>
      <c r="D9" s="414">
        <f t="shared" si="0"/>
        <v>1</v>
      </c>
      <c r="E9" s="414">
        <f t="shared" si="0"/>
        <v>1</v>
      </c>
      <c r="F9" s="388">
        <v>12</v>
      </c>
      <c r="G9" s="415">
        <f t="shared" si="1"/>
        <v>12</v>
      </c>
      <c r="H9" s="415">
        <f t="shared" si="1"/>
        <v>12</v>
      </c>
      <c r="I9" s="393">
        <v>66145.56</v>
      </c>
      <c r="J9" s="393">
        <v>52916.4</v>
      </c>
      <c r="K9" s="393">
        <v>52916.4</v>
      </c>
    </row>
    <row r="10" spans="1:13" ht="14.25" customHeight="1" x14ac:dyDescent="0.25">
      <c r="A10" s="377" t="s">
        <v>687</v>
      </c>
      <c r="B10" s="378" t="s">
        <v>42</v>
      </c>
      <c r="C10" s="413">
        <v>1</v>
      </c>
      <c r="D10" s="414">
        <f t="shared" si="0"/>
        <v>1</v>
      </c>
      <c r="E10" s="414">
        <f t="shared" si="0"/>
        <v>1</v>
      </c>
      <c r="F10" s="388">
        <v>12</v>
      </c>
      <c r="G10" s="415">
        <f t="shared" si="1"/>
        <v>12</v>
      </c>
      <c r="H10" s="415">
        <f t="shared" si="1"/>
        <v>12</v>
      </c>
      <c r="I10" s="393">
        <v>0</v>
      </c>
      <c r="J10" s="393">
        <v>0</v>
      </c>
      <c r="K10" s="393">
        <v>0</v>
      </c>
    </row>
    <row r="11" spans="1:13" ht="18" customHeight="1" x14ac:dyDescent="0.25">
      <c r="A11" s="377" t="s">
        <v>688</v>
      </c>
      <c r="B11" s="378" t="s">
        <v>337</v>
      </c>
      <c r="C11" s="413">
        <v>1</v>
      </c>
      <c r="D11" s="414">
        <f t="shared" si="0"/>
        <v>1</v>
      </c>
      <c r="E11" s="414">
        <f t="shared" si="0"/>
        <v>1</v>
      </c>
      <c r="F11" s="388">
        <v>1</v>
      </c>
      <c r="G11" s="415">
        <f t="shared" si="1"/>
        <v>1</v>
      </c>
      <c r="H11" s="415">
        <f t="shared" si="1"/>
        <v>1</v>
      </c>
      <c r="I11" s="393">
        <v>0</v>
      </c>
      <c r="J11" s="393">
        <v>0</v>
      </c>
      <c r="K11" s="393">
        <v>0</v>
      </c>
    </row>
    <row r="12" spans="1:13" ht="18" customHeight="1" x14ac:dyDescent="0.25">
      <c r="A12" s="377" t="s">
        <v>689</v>
      </c>
      <c r="B12" s="378" t="s">
        <v>338</v>
      </c>
      <c r="C12" s="413">
        <v>1</v>
      </c>
      <c r="D12" s="414">
        <f t="shared" si="0"/>
        <v>1</v>
      </c>
      <c r="E12" s="414">
        <f t="shared" si="0"/>
        <v>1</v>
      </c>
      <c r="F12" s="388">
        <v>1</v>
      </c>
      <c r="G12" s="415">
        <f t="shared" si="1"/>
        <v>1</v>
      </c>
      <c r="H12" s="415">
        <f t="shared" si="1"/>
        <v>1</v>
      </c>
      <c r="I12" s="393">
        <v>3600</v>
      </c>
      <c r="J12" s="393">
        <v>54978</v>
      </c>
      <c r="K12" s="393">
        <v>54978</v>
      </c>
    </row>
    <row r="13" spans="1:13" ht="31.5" x14ac:dyDescent="0.25">
      <c r="A13" s="377" t="s">
        <v>690</v>
      </c>
      <c r="B13" s="378" t="s">
        <v>339</v>
      </c>
      <c r="C13" s="413">
        <v>1</v>
      </c>
      <c r="D13" s="414">
        <f t="shared" si="0"/>
        <v>1</v>
      </c>
      <c r="E13" s="414">
        <f t="shared" si="0"/>
        <v>1</v>
      </c>
      <c r="F13" s="388">
        <v>1</v>
      </c>
      <c r="G13" s="415">
        <f t="shared" si="1"/>
        <v>1</v>
      </c>
      <c r="H13" s="415">
        <f t="shared" si="1"/>
        <v>1</v>
      </c>
      <c r="I13" s="393">
        <v>0</v>
      </c>
      <c r="J13" s="393">
        <v>0</v>
      </c>
      <c r="K13" s="393">
        <v>0</v>
      </c>
    </row>
    <row r="14" spans="1:13" ht="15.75" x14ac:dyDescent="0.25">
      <c r="A14" s="377" t="s">
        <v>691</v>
      </c>
      <c r="B14" s="378" t="s">
        <v>678</v>
      </c>
      <c r="C14" s="413">
        <v>1</v>
      </c>
      <c r="D14" s="414">
        <f t="shared" si="0"/>
        <v>1</v>
      </c>
      <c r="E14" s="414">
        <f t="shared" si="0"/>
        <v>1</v>
      </c>
      <c r="F14" s="388">
        <v>1</v>
      </c>
      <c r="G14" s="415">
        <f t="shared" si="1"/>
        <v>1</v>
      </c>
      <c r="H14" s="415">
        <f t="shared" si="1"/>
        <v>1</v>
      </c>
      <c r="I14" s="393">
        <v>0</v>
      </c>
      <c r="J14" s="393">
        <v>0</v>
      </c>
      <c r="K14" s="393">
        <v>0</v>
      </c>
    </row>
    <row r="15" spans="1:13" ht="14.25" customHeight="1" x14ac:dyDescent="0.25">
      <c r="A15" s="377" t="s">
        <v>405</v>
      </c>
      <c r="B15" s="378" t="s">
        <v>676</v>
      </c>
      <c r="C15" s="413">
        <v>1</v>
      </c>
      <c r="D15" s="414">
        <f t="shared" si="0"/>
        <v>1</v>
      </c>
      <c r="E15" s="414">
        <f t="shared" si="0"/>
        <v>1</v>
      </c>
      <c r="F15" s="388">
        <v>10</v>
      </c>
      <c r="G15" s="415">
        <f t="shared" si="1"/>
        <v>10</v>
      </c>
      <c r="H15" s="415">
        <f t="shared" si="1"/>
        <v>10</v>
      </c>
      <c r="I15" s="393">
        <v>2800</v>
      </c>
      <c r="J15" s="393">
        <v>3600</v>
      </c>
      <c r="K15" s="393">
        <v>3600</v>
      </c>
    </row>
    <row r="16" spans="1:13" ht="14.25" customHeight="1" x14ac:dyDescent="0.25">
      <c r="A16" s="416" t="s">
        <v>692</v>
      </c>
      <c r="B16" s="378" t="s">
        <v>674</v>
      </c>
      <c r="C16" s="413">
        <v>1</v>
      </c>
      <c r="D16" s="414">
        <f t="shared" si="0"/>
        <v>1</v>
      </c>
      <c r="E16" s="414">
        <f t="shared" si="0"/>
        <v>1</v>
      </c>
      <c r="F16" s="388">
        <v>1</v>
      </c>
      <c r="G16" s="415">
        <f t="shared" si="1"/>
        <v>1</v>
      </c>
      <c r="H16" s="415">
        <f t="shared" si="1"/>
        <v>1</v>
      </c>
      <c r="I16" s="393">
        <v>11679.34</v>
      </c>
      <c r="J16" s="393">
        <v>22050</v>
      </c>
      <c r="K16" s="393">
        <v>22050</v>
      </c>
    </row>
    <row r="17" spans="1:12" ht="14.25" customHeight="1" x14ac:dyDescent="0.25">
      <c r="A17" s="416" t="s">
        <v>693</v>
      </c>
      <c r="B17" s="378" t="s">
        <v>672</v>
      </c>
      <c r="C17" s="413">
        <v>1</v>
      </c>
      <c r="D17" s="414">
        <f t="shared" si="0"/>
        <v>1</v>
      </c>
      <c r="E17" s="414">
        <f t="shared" si="0"/>
        <v>1</v>
      </c>
      <c r="F17" s="388">
        <v>1</v>
      </c>
      <c r="G17" s="415">
        <f t="shared" si="1"/>
        <v>1</v>
      </c>
      <c r="H17" s="415">
        <f t="shared" si="1"/>
        <v>1</v>
      </c>
      <c r="I17" s="393">
        <v>0</v>
      </c>
      <c r="J17" s="393">
        <v>0</v>
      </c>
      <c r="K17" s="393">
        <v>0</v>
      </c>
    </row>
    <row r="18" spans="1:12" ht="14.25" customHeight="1" x14ac:dyDescent="0.25">
      <c r="A18" s="416" t="s">
        <v>581</v>
      </c>
      <c r="B18" s="378" t="s">
        <v>670</v>
      </c>
      <c r="C18" s="413">
        <v>1</v>
      </c>
      <c r="D18" s="414">
        <f t="shared" si="0"/>
        <v>1</v>
      </c>
      <c r="E18" s="414">
        <f t="shared" si="0"/>
        <v>1</v>
      </c>
      <c r="F18" s="388">
        <v>1</v>
      </c>
      <c r="G18" s="415">
        <f t="shared" si="1"/>
        <v>1</v>
      </c>
      <c r="H18" s="415">
        <f t="shared" si="1"/>
        <v>1</v>
      </c>
      <c r="I18" s="393">
        <v>3500</v>
      </c>
      <c r="J18" s="393">
        <v>7564</v>
      </c>
      <c r="K18" s="393">
        <v>7564</v>
      </c>
    </row>
    <row r="19" spans="1:12" ht="15.75" x14ac:dyDescent="0.25">
      <c r="A19" s="416" t="s">
        <v>694</v>
      </c>
      <c r="B19" s="378" t="s">
        <v>668</v>
      </c>
      <c r="C19" s="413">
        <v>1</v>
      </c>
      <c r="D19" s="414">
        <f t="shared" si="0"/>
        <v>1</v>
      </c>
      <c r="E19" s="414">
        <f t="shared" si="0"/>
        <v>1</v>
      </c>
      <c r="F19" s="388">
        <v>12</v>
      </c>
      <c r="G19" s="415">
        <f t="shared" si="1"/>
        <v>12</v>
      </c>
      <c r="H19" s="415">
        <f t="shared" si="1"/>
        <v>12</v>
      </c>
      <c r="I19" s="393">
        <v>1748888.65</v>
      </c>
      <c r="J19" s="393">
        <v>1858303.02</v>
      </c>
      <c r="K19" s="393">
        <v>1858303.02</v>
      </c>
    </row>
    <row r="20" spans="1:12" ht="15.75" x14ac:dyDescent="0.25">
      <c r="A20" s="377" t="s">
        <v>695</v>
      </c>
      <c r="B20" s="378" t="s">
        <v>666</v>
      </c>
      <c r="C20" s="413">
        <v>1</v>
      </c>
      <c r="D20" s="414">
        <f t="shared" si="0"/>
        <v>1</v>
      </c>
      <c r="E20" s="414">
        <f t="shared" si="0"/>
        <v>1</v>
      </c>
      <c r="F20" s="388">
        <v>12</v>
      </c>
      <c r="G20" s="415">
        <f t="shared" si="1"/>
        <v>12</v>
      </c>
      <c r="H20" s="415">
        <f t="shared" si="1"/>
        <v>12</v>
      </c>
      <c r="I20" s="393">
        <v>0</v>
      </c>
      <c r="J20" s="393">
        <v>0</v>
      </c>
      <c r="K20" s="393">
        <v>0</v>
      </c>
      <c r="L20" s="61"/>
    </row>
    <row r="21" spans="1:12" ht="15.75" x14ac:dyDescent="0.25">
      <c r="A21" s="377" t="s">
        <v>696</v>
      </c>
      <c r="B21" s="378" t="s">
        <v>665</v>
      </c>
      <c r="C21" s="413">
        <v>1</v>
      </c>
      <c r="D21" s="414">
        <f t="shared" si="0"/>
        <v>1</v>
      </c>
      <c r="E21" s="414">
        <f t="shared" si="0"/>
        <v>1</v>
      </c>
      <c r="F21" s="388">
        <v>12</v>
      </c>
      <c r="G21" s="415">
        <f t="shared" si="1"/>
        <v>12</v>
      </c>
      <c r="H21" s="415">
        <f t="shared" si="1"/>
        <v>12</v>
      </c>
      <c r="I21" s="393">
        <v>0</v>
      </c>
      <c r="J21" s="393">
        <v>0</v>
      </c>
      <c r="K21" s="393">
        <v>0</v>
      </c>
    </row>
    <row r="22" spans="1:12" ht="29.25" customHeight="1" x14ac:dyDescent="0.25">
      <c r="A22" s="377" t="s">
        <v>697</v>
      </c>
      <c r="B22" s="378" t="s">
        <v>663</v>
      </c>
      <c r="C22" s="413">
        <v>1</v>
      </c>
      <c r="D22" s="414">
        <f t="shared" si="0"/>
        <v>1</v>
      </c>
      <c r="E22" s="414">
        <f t="shared" si="0"/>
        <v>1</v>
      </c>
      <c r="F22" s="388">
        <v>1</v>
      </c>
      <c r="G22" s="415">
        <f t="shared" si="1"/>
        <v>1</v>
      </c>
      <c r="H22" s="415">
        <f t="shared" si="1"/>
        <v>1</v>
      </c>
      <c r="I22" s="393">
        <v>8100</v>
      </c>
      <c r="J22" s="393">
        <v>29420</v>
      </c>
      <c r="K22" s="393">
        <v>29420</v>
      </c>
    </row>
    <row r="23" spans="1:12" ht="29.25" customHeight="1" x14ac:dyDescent="0.25">
      <c r="A23" s="377" t="s">
        <v>698</v>
      </c>
      <c r="B23" s="378" t="s">
        <v>661</v>
      </c>
      <c r="C23" s="413">
        <v>1</v>
      </c>
      <c r="D23" s="414">
        <f t="shared" ref="D23:E38" si="2">C23</f>
        <v>1</v>
      </c>
      <c r="E23" s="414">
        <f t="shared" si="2"/>
        <v>1</v>
      </c>
      <c r="F23" s="388">
        <v>1</v>
      </c>
      <c r="G23" s="415">
        <f t="shared" ref="G23:H38" si="3">F23</f>
        <v>1</v>
      </c>
      <c r="H23" s="415">
        <f t="shared" si="3"/>
        <v>1</v>
      </c>
      <c r="I23" s="393">
        <v>0</v>
      </c>
      <c r="J23" s="393">
        <v>0</v>
      </c>
      <c r="K23" s="393">
        <v>0</v>
      </c>
    </row>
    <row r="24" spans="1:12" ht="29.25" customHeight="1" x14ac:dyDescent="0.25">
      <c r="A24" s="377" t="s">
        <v>699</v>
      </c>
      <c r="B24" s="378" t="s">
        <v>659</v>
      </c>
      <c r="C24" s="413">
        <v>1</v>
      </c>
      <c r="D24" s="414">
        <f t="shared" si="2"/>
        <v>1</v>
      </c>
      <c r="E24" s="414">
        <f t="shared" si="2"/>
        <v>1</v>
      </c>
      <c r="F24" s="388">
        <v>1</v>
      </c>
      <c r="G24" s="415">
        <f t="shared" si="3"/>
        <v>1</v>
      </c>
      <c r="H24" s="415">
        <f t="shared" si="3"/>
        <v>1</v>
      </c>
      <c r="I24" s="393">
        <v>32400</v>
      </c>
      <c r="J24" s="393">
        <v>19200</v>
      </c>
      <c r="K24" s="393">
        <v>19200</v>
      </c>
    </row>
    <row r="25" spans="1:12" ht="29.25" customHeight="1" x14ac:dyDescent="0.25">
      <c r="A25" s="377" t="s">
        <v>700</v>
      </c>
      <c r="B25" s="378" t="s">
        <v>657</v>
      </c>
      <c r="C25" s="413">
        <v>1</v>
      </c>
      <c r="D25" s="414">
        <f t="shared" si="2"/>
        <v>1</v>
      </c>
      <c r="E25" s="414">
        <f t="shared" si="2"/>
        <v>1</v>
      </c>
      <c r="F25" s="388">
        <v>1</v>
      </c>
      <c r="G25" s="415">
        <f t="shared" si="3"/>
        <v>1</v>
      </c>
      <c r="H25" s="415">
        <f t="shared" si="3"/>
        <v>1</v>
      </c>
      <c r="I25" s="393">
        <v>0</v>
      </c>
      <c r="J25" s="393">
        <v>0</v>
      </c>
      <c r="K25" s="393">
        <v>0</v>
      </c>
    </row>
    <row r="26" spans="1:12" ht="18" customHeight="1" x14ac:dyDescent="0.25">
      <c r="A26" s="377" t="s">
        <v>701</v>
      </c>
      <c r="B26" s="378" t="s">
        <v>655</v>
      </c>
      <c r="C26" s="413">
        <v>1</v>
      </c>
      <c r="D26" s="414">
        <f t="shared" si="2"/>
        <v>1</v>
      </c>
      <c r="E26" s="414">
        <f t="shared" si="2"/>
        <v>1</v>
      </c>
      <c r="F26" s="388">
        <v>12</v>
      </c>
      <c r="G26" s="415">
        <f t="shared" si="3"/>
        <v>12</v>
      </c>
      <c r="H26" s="415">
        <f t="shared" si="3"/>
        <v>12</v>
      </c>
      <c r="I26" s="393">
        <v>23400</v>
      </c>
      <c r="J26" s="393">
        <v>25200</v>
      </c>
      <c r="K26" s="393">
        <v>25200</v>
      </c>
    </row>
    <row r="27" spans="1:12" ht="18" customHeight="1" x14ac:dyDescent="0.25">
      <c r="A27" s="377" t="s">
        <v>702</v>
      </c>
      <c r="B27" s="378" t="s">
        <v>653</v>
      </c>
      <c r="C27" s="413">
        <v>1</v>
      </c>
      <c r="D27" s="414">
        <f t="shared" si="2"/>
        <v>1</v>
      </c>
      <c r="E27" s="414">
        <f t="shared" si="2"/>
        <v>1</v>
      </c>
      <c r="F27" s="388">
        <v>2</v>
      </c>
      <c r="G27" s="415">
        <f t="shared" si="3"/>
        <v>2</v>
      </c>
      <c r="H27" s="415">
        <f t="shared" si="3"/>
        <v>2</v>
      </c>
      <c r="I27" s="393">
        <v>1000</v>
      </c>
      <c r="J27" s="393">
        <v>1000</v>
      </c>
      <c r="K27" s="393">
        <v>1000</v>
      </c>
    </row>
    <row r="28" spans="1:12" ht="35.25" customHeight="1" x14ac:dyDescent="0.25">
      <c r="A28" s="377" t="s">
        <v>703</v>
      </c>
      <c r="B28" s="378" t="s">
        <v>652</v>
      </c>
      <c r="C28" s="413">
        <v>1</v>
      </c>
      <c r="D28" s="414">
        <f t="shared" si="2"/>
        <v>1</v>
      </c>
      <c r="E28" s="414">
        <f t="shared" si="2"/>
        <v>1</v>
      </c>
      <c r="F28" s="388">
        <v>12</v>
      </c>
      <c r="G28" s="415">
        <f t="shared" si="3"/>
        <v>12</v>
      </c>
      <c r="H28" s="415">
        <f t="shared" si="3"/>
        <v>12</v>
      </c>
      <c r="I28" s="393">
        <v>33792</v>
      </c>
      <c r="J28" s="393">
        <v>33792</v>
      </c>
      <c r="K28" s="393">
        <v>33792</v>
      </c>
    </row>
    <row r="29" spans="1:12" ht="31.5" x14ac:dyDescent="0.25">
      <c r="A29" s="377" t="s">
        <v>704</v>
      </c>
      <c r="B29" s="378" t="s">
        <v>651</v>
      </c>
      <c r="C29" s="413">
        <v>1</v>
      </c>
      <c r="D29" s="414">
        <f t="shared" si="2"/>
        <v>1</v>
      </c>
      <c r="E29" s="414">
        <f t="shared" si="2"/>
        <v>1</v>
      </c>
      <c r="F29" s="388">
        <v>1</v>
      </c>
      <c r="G29" s="415">
        <f t="shared" si="3"/>
        <v>1</v>
      </c>
      <c r="H29" s="415">
        <f t="shared" si="3"/>
        <v>1</v>
      </c>
      <c r="I29" s="393">
        <v>0</v>
      </c>
      <c r="J29" s="393">
        <v>0</v>
      </c>
      <c r="K29" s="393">
        <v>0</v>
      </c>
    </row>
    <row r="30" spans="1:12" ht="48.75" customHeight="1" x14ac:dyDescent="0.25">
      <c r="A30" s="377" t="s">
        <v>705</v>
      </c>
      <c r="B30" s="378" t="s">
        <v>650</v>
      </c>
      <c r="C30" s="413">
        <v>1</v>
      </c>
      <c r="D30" s="414">
        <f>C36</f>
        <v>1</v>
      </c>
      <c r="E30" s="414">
        <f>D36</f>
        <v>1</v>
      </c>
      <c r="F30" s="388">
        <v>1</v>
      </c>
      <c r="G30" s="415">
        <f>F36</f>
        <v>8</v>
      </c>
      <c r="H30" s="415">
        <f>G36</f>
        <v>8</v>
      </c>
      <c r="I30" s="393">
        <v>0</v>
      </c>
      <c r="J30" s="393">
        <v>0</v>
      </c>
      <c r="K30" s="393">
        <v>0</v>
      </c>
    </row>
    <row r="31" spans="1:12" ht="39" customHeight="1" x14ac:dyDescent="0.25">
      <c r="A31" s="377" t="s">
        <v>706</v>
      </c>
      <c r="B31" s="378" t="s">
        <v>649</v>
      </c>
      <c r="C31" s="413">
        <v>1</v>
      </c>
      <c r="D31" s="414">
        <f t="shared" si="2"/>
        <v>1</v>
      </c>
      <c r="E31" s="414">
        <f t="shared" si="2"/>
        <v>1</v>
      </c>
      <c r="F31" s="388">
        <v>1</v>
      </c>
      <c r="G31" s="415">
        <f t="shared" si="3"/>
        <v>1</v>
      </c>
      <c r="H31" s="415">
        <f t="shared" si="3"/>
        <v>1</v>
      </c>
      <c r="I31" s="393">
        <v>6052</v>
      </c>
      <c r="J31" s="393">
        <v>11052</v>
      </c>
      <c r="K31" s="393">
        <v>11052</v>
      </c>
    </row>
    <row r="32" spans="1:12" ht="18.75" customHeight="1" x14ac:dyDescent="0.25">
      <c r="A32" s="377" t="s">
        <v>707</v>
      </c>
      <c r="B32" s="378" t="s">
        <v>648</v>
      </c>
      <c r="C32" s="413">
        <v>1</v>
      </c>
      <c r="D32" s="414">
        <f t="shared" si="2"/>
        <v>1</v>
      </c>
      <c r="E32" s="414">
        <f t="shared" si="2"/>
        <v>1</v>
      </c>
      <c r="F32" s="388">
        <v>1</v>
      </c>
      <c r="G32" s="415">
        <f t="shared" si="3"/>
        <v>1</v>
      </c>
      <c r="H32" s="415">
        <f t="shared" si="3"/>
        <v>1</v>
      </c>
      <c r="I32" s="393">
        <v>0</v>
      </c>
      <c r="J32" s="393">
        <v>24500</v>
      </c>
      <c r="K32" s="393">
        <v>24500</v>
      </c>
    </row>
    <row r="33" spans="1:11" ht="15.75" x14ac:dyDescent="0.25">
      <c r="A33" s="377" t="s">
        <v>708</v>
      </c>
      <c r="B33" s="378" t="s">
        <v>647</v>
      </c>
      <c r="C33" s="413">
        <v>1</v>
      </c>
      <c r="D33" s="414">
        <f t="shared" si="2"/>
        <v>1</v>
      </c>
      <c r="E33" s="414">
        <f t="shared" si="2"/>
        <v>1</v>
      </c>
      <c r="F33" s="388">
        <v>1</v>
      </c>
      <c r="G33" s="415">
        <f t="shared" si="3"/>
        <v>1</v>
      </c>
      <c r="H33" s="415">
        <f t="shared" si="3"/>
        <v>1</v>
      </c>
      <c r="I33" s="393">
        <v>0</v>
      </c>
      <c r="J33" s="393">
        <v>0</v>
      </c>
      <c r="K33" s="393">
        <v>0</v>
      </c>
    </row>
    <row r="34" spans="1:11" ht="31.5" x14ac:dyDescent="0.25">
      <c r="A34" s="377" t="s">
        <v>709</v>
      </c>
      <c r="B34" s="378" t="s">
        <v>646</v>
      </c>
      <c r="C34" s="413">
        <v>1</v>
      </c>
      <c r="D34" s="414">
        <f t="shared" si="2"/>
        <v>1</v>
      </c>
      <c r="E34" s="414">
        <f t="shared" si="2"/>
        <v>1</v>
      </c>
      <c r="F34" s="388">
        <v>1</v>
      </c>
      <c r="G34" s="415">
        <f t="shared" si="3"/>
        <v>1</v>
      </c>
      <c r="H34" s="415">
        <f t="shared" si="3"/>
        <v>1</v>
      </c>
      <c r="I34" s="393">
        <v>0</v>
      </c>
      <c r="J34" s="393">
        <v>0</v>
      </c>
      <c r="K34" s="393">
        <v>0</v>
      </c>
    </row>
    <row r="35" spans="1:11" ht="15.75" x14ac:dyDescent="0.25">
      <c r="A35" s="377" t="s">
        <v>710</v>
      </c>
      <c r="B35" s="378">
        <v>36</v>
      </c>
      <c r="C35" s="413">
        <v>1</v>
      </c>
      <c r="D35" s="414">
        <f t="shared" si="2"/>
        <v>1</v>
      </c>
      <c r="E35" s="414">
        <f t="shared" si="2"/>
        <v>1</v>
      </c>
      <c r="F35" s="388">
        <v>12</v>
      </c>
      <c r="G35" s="415">
        <f t="shared" si="3"/>
        <v>12</v>
      </c>
      <c r="H35" s="415">
        <f t="shared" si="3"/>
        <v>12</v>
      </c>
      <c r="I35" s="393">
        <v>24000</v>
      </c>
      <c r="J35" s="393">
        <v>24000</v>
      </c>
      <c r="K35" s="393">
        <v>24000</v>
      </c>
    </row>
    <row r="36" spans="1:11" ht="31.5" x14ac:dyDescent="0.25">
      <c r="A36" s="377" t="s">
        <v>404</v>
      </c>
      <c r="B36" s="378" t="s">
        <v>645</v>
      </c>
      <c r="C36" s="413">
        <v>1</v>
      </c>
      <c r="D36" s="414">
        <f t="shared" si="2"/>
        <v>1</v>
      </c>
      <c r="E36" s="414">
        <f t="shared" si="2"/>
        <v>1</v>
      </c>
      <c r="F36" s="388">
        <v>8</v>
      </c>
      <c r="G36" s="415">
        <f t="shared" si="3"/>
        <v>8</v>
      </c>
      <c r="H36" s="415">
        <f t="shared" si="3"/>
        <v>8</v>
      </c>
      <c r="I36" s="393">
        <v>34000</v>
      </c>
      <c r="J36" s="393">
        <v>34000</v>
      </c>
      <c r="K36" s="393">
        <v>34000</v>
      </c>
    </row>
    <row r="37" spans="1:11" ht="18" customHeight="1" x14ac:dyDescent="0.25">
      <c r="A37" s="377" t="s">
        <v>711</v>
      </c>
      <c r="B37" s="378" t="s">
        <v>644</v>
      </c>
      <c r="C37" s="413">
        <v>1</v>
      </c>
      <c r="D37" s="414">
        <f t="shared" si="2"/>
        <v>1</v>
      </c>
      <c r="E37" s="414">
        <f t="shared" si="2"/>
        <v>1</v>
      </c>
      <c r="F37" s="388">
        <v>1</v>
      </c>
      <c r="G37" s="415">
        <f t="shared" si="3"/>
        <v>1</v>
      </c>
      <c r="H37" s="415">
        <f t="shared" si="3"/>
        <v>1</v>
      </c>
      <c r="I37" s="393">
        <v>0</v>
      </c>
      <c r="J37" s="393">
        <v>0</v>
      </c>
      <c r="K37" s="393">
        <v>0</v>
      </c>
    </row>
    <row r="38" spans="1:11" ht="18" customHeight="1" x14ac:dyDescent="0.25">
      <c r="A38" s="377" t="s">
        <v>712</v>
      </c>
      <c r="B38" s="378" t="s">
        <v>643</v>
      </c>
      <c r="C38" s="413">
        <v>1</v>
      </c>
      <c r="D38" s="414">
        <f t="shared" si="2"/>
        <v>1</v>
      </c>
      <c r="E38" s="414">
        <f t="shared" si="2"/>
        <v>1</v>
      </c>
      <c r="F38" s="388">
        <v>1</v>
      </c>
      <c r="G38" s="415">
        <f t="shared" si="3"/>
        <v>1</v>
      </c>
      <c r="H38" s="415">
        <f t="shared" si="3"/>
        <v>1</v>
      </c>
      <c r="I38" s="393">
        <v>0</v>
      </c>
      <c r="J38" s="393">
        <v>0</v>
      </c>
      <c r="K38" s="393">
        <v>0</v>
      </c>
    </row>
    <row r="39" spans="1:11" ht="18" customHeight="1" x14ac:dyDescent="0.25">
      <c r="A39" s="377" t="s">
        <v>713</v>
      </c>
      <c r="B39" s="378" t="s">
        <v>642</v>
      </c>
      <c r="C39" s="413">
        <v>1</v>
      </c>
      <c r="D39" s="414">
        <f t="shared" ref="D39:E43" si="4">C39</f>
        <v>1</v>
      </c>
      <c r="E39" s="414">
        <f t="shared" si="4"/>
        <v>1</v>
      </c>
      <c r="F39" s="388">
        <v>1</v>
      </c>
      <c r="G39" s="415">
        <f t="shared" ref="G39:H43" si="5">F39</f>
        <v>1</v>
      </c>
      <c r="H39" s="415">
        <f t="shared" si="5"/>
        <v>1</v>
      </c>
      <c r="I39" s="393">
        <v>9900</v>
      </c>
      <c r="J39" s="393">
        <v>9900</v>
      </c>
      <c r="K39" s="393">
        <v>9900</v>
      </c>
    </row>
    <row r="40" spans="1:11" ht="64.5" customHeight="1" x14ac:dyDescent="0.25">
      <c r="A40" s="377" t="s">
        <v>714</v>
      </c>
      <c r="B40" s="378" t="s">
        <v>715</v>
      </c>
      <c r="C40" s="413">
        <v>1</v>
      </c>
      <c r="D40" s="414">
        <f t="shared" si="4"/>
        <v>1</v>
      </c>
      <c r="E40" s="414">
        <f t="shared" si="4"/>
        <v>1</v>
      </c>
      <c r="F40" s="388">
        <v>1</v>
      </c>
      <c r="G40" s="415">
        <f t="shared" si="5"/>
        <v>1</v>
      </c>
      <c r="H40" s="415">
        <f t="shared" si="5"/>
        <v>1</v>
      </c>
      <c r="I40" s="393">
        <v>0</v>
      </c>
      <c r="J40" s="393">
        <v>0</v>
      </c>
      <c r="K40" s="393">
        <v>0</v>
      </c>
    </row>
    <row r="41" spans="1:11" ht="15.75" x14ac:dyDescent="0.25">
      <c r="A41" s="377" t="s">
        <v>582</v>
      </c>
      <c r="B41" s="378" t="s">
        <v>716</v>
      </c>
      <c r="C41" s="413">
        <v>1</v>
      </c>
      <c r="D41" s="414">
        <f t="shared" si="4"/>
        <v>1</v>
      </c>
      <c r="E41" s="414">
        <f t="shared" si="4"/>
        <v>1</v>
      </c>
      <c r="F41" s="388">
        <v>1</v>
      </c>
      <c r="G41" s="415">
        <f t="shared" si="5"/>
        <v>1</v>
      </c>
      <c r="H41" s="415">
        <f t="shared" si="5"/>
        <v>1</v>
      </c>
      <c r="I41" s="393">
        <v>0</v>
      </c>
      <c r="J41" s="393">
        <v>0</v>
      </c>
      <c r="K41" s="393">
        <v>0</v>
      </c>
    </row>
    <row r="42" spans="1:11" ht="47.25" x14ac:dyDescent="0.25">
      <c r="A42" s="377" t="s">
        <v>717</v>
      </c>
      <c r="B42" s="378" t="s">
        <v>718</v>
      </c>
      <c r="C42" s="413">
        <v>1</v>
      </c>
      <c r="D42" s="414">
        <f t="shared" si="4"/>
        <v>1</v>
      </c>
      <c r="E42" s="414">
        <f t="shared" si="4"/>
        <v>1</v>
      </c>
      <c r="F42" s="388">
        <v>1</v>
      </c>
      <c r="G42" s="415">
        <f t="shared" si="5"/>
        <v>1</v>
      </c>
      <c r="H42" s="415">
        <f t="shared" si="5"/>
        <v>1</v>
      </c>
      <c r="I42" s="393">
        <v>3600</v>
      </c>
      <c r="J42" s="393">
        <v>3600</v>
      </c>
      <c r="K42" s="393">
        <v>3600</v>
      </c>
    </row>
    <row r="43" spans="1:11" ht="31.5" x14ac:dyDescent="0.25">
      <c r="A43" s="377" t="s">
        <v>583</v>
      </c>
      <c r="B43" s="378" t="s">
        <v>719</v>
      </c>
      <c r="C43" s="413">
        <v>1</v>
      </c>
      <c r="D43" s="414">
        <f t="shared" si="4"/>
        <v>1</v>
      </c>
      <c r="E43" s="414">
        <f t="shared" si="4"/>
        <v>1</v>
      </c>
      <c r="F43" s="388">
        <v>1</v>
      </c>
      <c r="G43" s="415">
        <f t="shared" si="5"/>
        <v>1</v>
      </c>
      <c r="H43" s="415">
        <f t="shared" si="5"/>
        <v>1</v>
      </c>
      <c r="I43" s="393">
        <v>57600</v>
      </c>
      <c r="J43" s="393">
        <v>57600</v>
      </c>
      <c r="K43" s="393">
        <v>57600</v>
      </c>
    </row>
    <row r="44" spans="1:11" ht="15.75" x14ac:dyDescent="0.25">
      <c r="A44" s="377"/>
      <c r="B44" s="378" t="s">
        <v>720</v>
      </c>
      <c r="C44" s="413"/>
      <c r="D44" s="414"/>
      <c r="E44" s="414"/>
      <c r="F44" s="388"/>
      <c r="G44" s="415"/>
      <c r="H44" s="415"/>
      <c r="I44" s="393"/>
      <c r="J44" s="393"/>
      <c r="K44" s="393"/>
    </row>
    <row r="45" spans="1:11" ht="15.75" x14ac:dyDescent="0.25">
      <c r="A45" s="377"/>
      <c r="B45" s="378" t="s">
        <v>721</v>
      </c>
      <c r="C45" s="413"/>
      <c r="D45" s="414"/>
      <c r="E45" s="414"/>
      <c r="F45" s="388"/>
      <c r="G45" s="415"/>
      <c r="H45" s="415"/>
      <c r="I45" s="393"/>
      <c r="J45" s="393"/>
      <c r="K45" s="393"/>
    </row>
    <row r="46" spans="1:11" ht="15.75" x14ac:dyDescent="0.25">
      <c r="A46" s="377"/>
      <c r="B46" s="378" t="s">
        <v>722</v>
      </c>
      <c r="C46" s="413"/>
      <c r="D46" s="414"/>
      <c r="E46" s="414"/>
      <c r="F46" s="388"/>
      <c r="G46" s="415"/>
      <c r="H46" s="415"/>
      <c r="I46" s="393"/>
      <c r="J46" s="393"/>
      <c r="K46" s="393"/>
    </row>
    <row r="47" spans="1:11" ht="15.75" x14ac:dyDescent="0.25">
      <c r="A47" s="377"/>
      <c r="B47" s="378" t="s">
        <v>723</v>
      </c>
      <c r="C47" s="413"/>
      <c r="D47" s="414"/>
      <c r="E47" s="414"/>
      <c r="F47" s="388"/>
      <c r="G47" s="415"/>
      <c r="H47" s="415"/>
      <c r="I47" s="393"/>
      <c r="J47" s="393"/>
      <c r="K47" s="393"/>
    </row>
    <row r="48" spans="1:11" ht="15.75" x14ac:dyDescent="0.25">
      <c r="A48" s="377" t="s">
        <v>724</v>
      </c>
      <c r="B48" s="378" t="s">
        <v>725</v>
      </c>
      <c r="C48" s="413">
        <v>1</v>
      </c>
      <c r="D48" s="414">
        <f t="shared" ref="D48:E49" si="6">C48</f>
        <v>1</v>
      </c>
      <c r="E48" s="414">
        <f t="shared" si="6"/>
        <v>1</v>
      </c>
      <c r="F48" s="388">
        <v>1</v>
      </c>
      <c r="G48" s="415">
        <f t="shared" ref="G48:H49" si="7">F48</f>
        <v>1</v>
      </c>
      <c r="H48" s="415">
        <f t="shared" si="7"/>
        <v>1</v>
      </c>
      <c r="I48" s="417">
        <v>0</v>
      </c>
      <c r="J48" s="417">
        <v>0</v>
      </c>
      <c r="K48" s="417">
        <v>0</v>
      </c>
    </row>
    <row r="49" spans="1:11" ht="15.75" x14ac:dyDescent="0.25">
      <c r="A49" s="377" t="s">
        <v>726</v>
      </c>
      <c r="B49" s="378" t="s">
        <v>727</v>
      </c>
      <c r="C49" s="413">
        <v>1</v>
      </c>
      <c r="D49" s="414">
        <f t="shared" si="6"/>
        <v>1</v>
      </c>
      <c r="E49" s="414">
        <f t="shared" si="6"/>
        <v>1</v>
      </c>
      <c r="F49" s="388">
        <v>1</v>
      </c>
      <c r="G49" s="415">
        <f t="shared" si="7"/>
        <v>1</v>
      </c>
      <c r="H49" s="415">
        <f t="shared" si="7"/>
        <v>1</v>
      </c>
      <c r="I49" s="417">
        <v>0</v>
      </c>
      <c r="J49" s="417">
        <v>0</v>
      </c>
      <c r="K49" s="417">
        <v>0</v>
      </c>
    </row>
    <row r="50" spans="1:11" ht="15.75" x14ac:dyDescent="0.25">
      <c r="A50" s="383" t="s">
        <v>13</v>
      </c>
      <c r="B50" s="384">
        <v>9000</v>
      </c>
      <c r="C50" s="388" t="s">
        <v>14</v>
      </c>
      <c r="D50" s="388" t="s">
        <v>14</v>
      </c>
      <c r="E50" s="388" t="s">
        <v>14</v>
      </c>
      <c r="F50" s="388" t="s">
        <v>14</v>
      </c>
      <c r="G50" s="388" t="s">
        <v>14</v>
      </c>
      <c r="H50" s="388" t="s">
        <v>14</v>
      </c>
      <c r="I50" s="389">
        <f>SUM(I6:I47)</f>
        <v>2260406.2800000003</v>
      </c>
      <c r="J50" s="389">
        <f t="shared" ref="J50:K50" si="8">SUM(J6:J47)</f>
        <v>2454725.52</v>
      </c>
      <c r="K50" s="389">
        <f t="shared" si="8"/>
        <v>2454725.52</v>
      </c>
    </row>
    <row r="51" spans="1:11" ht="15.75" x14ac:dyDescent="0.25">
      <c r="I51" s="418">
        <v>2260406.2799999998</v>
      </c>
      <c r="J51" s="418">
        <v>2454725.52</v>
      </c>
      <c r="K51" s="418">
        <v>2454725.52</v>
      </c>
    </row>
    <row r="52" spans="1:11" ht="15.75" x14ac:dyDescent="0.25">
      <c r="I52" s="418">
        <f>I51-I50</f>
        <v>0</v>
      </c>
      <c r="J52" s="418">
        <f t="shared" ref="J52:K52" si="9">J51-J50</f>
        <v>0</v>
      </c>
      <c r="K52" s="418">
        <f t="shared" si="9"/>
        <v>0</v>
      </c>
    </row>
  </sheetData>
  <mergeCells count="6">
    <mergeCell ref="A1:K1"/>
    <mergeCell ref="A2:A4"/>
    <mergeCell ref="B2:B4"/>
    <mergeCell ref="C2:E2"/>
    <mergeCell ref="F2:H2"/>
    <mergeCell ref="I2:K2"/>
  </mergeCells>
  <pageMargins left="0.70866141732283472" right="0.70866141732283472" top="0.74803149606299213" bottom="0.74803149606299213" header="0.31496062992125984" footer="0.31496062992125984"/>
  <pageSetup paperSize="9" scale="4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view="pageBreakPreview" zoomScaleSheetLayoutView="100" workbookViewId="0">
      <pane xSplit="1" ySplit="5" topLeftCell="B21" activePane="bottomRight" state="frozen"/>
      <selection activeCell="E22" sqref="E22"/>
      <selection pane="topRight" activeCell="E22" sqref="E22"/>
      <selection pane="bottomLeft" activeCell="E22" sqref="E22"/>
      <selection pane="bottomRight" activeCell="E22" sqref="E22"/>
    </sheetView>
  </sheetViews>
  <sheetFormatPr defaultRowHeight="12.75" outlineLevelRow="1" x14ac:dyDescent="0.2"/>
  <cols>
    <col min="1" max="1" width="36.28515625" customWidth="1"/>
    <col min="2" max="2" width="6.85546875" customWidth="1"/>
    <col min="3" max="3" width="11.85546875" customWidth="1"/>
    <col min="4" max="4" width="13.28515625" customWidth="1"/>
    <col min="5" max="5" width="11.28515625" customWidth="1"/>
    <col min="6" max="7" width="12.85546875" customWidth="1"/>
    <col min="8" max="8" width="14" customWidth="1"/>
    <col min="9" max="9" width="13.28515625" customWidth="1"/>
    <col min="10" max="10" width="14" customWidth="1"/>
  </cols>
  <sheetData>
    <row r="1" spans="1:8" ht="18.75" customHeight="1" x14ac:dyDescent="0.2">
      <c r="A1" s="686" t="s">
        <v>683</v>
      </c>
      <c r="B1" s="687"/>
      <c r="C1" s="687"/>
      <c r="D1" s="687"/>
      <c r="E1" s="687"/>
      <c r="F1" s="687"/>
      <c r="G1" s="687"/>
      <c r="H1" s="688"/>
    </row>
    <row r="2" spans="1:8" ht="24" customHeight="1" x14ac:dyDescent="0.2">
      <c r="A2" s="689" t="s">
        <v>1</v>
      </c>
      <c r="B2" s="679" t="s">
        <v>129</v>
      </c>
      <c r="C2" s="689" t="s">
        <v>682</v>
      </c>
      <c r="D2" s="689"/>
      <c r="E2" s="689"/>
      <c r="F2" s="684" t="s">
        <v>21</v>
      </c>
      <c r="G2" s="684"/>
      <c r="H2" s="684"/>
    </row>
    <row r="3" spans="1:8" ht="21" customHeight="1" x14ac:dyDescent="0.2">
      <c r="A3" s="689"/>
      <c r="B3" s="679"/>
      <c r="C3" s="370" t="s">
        <v>477</v>
      </c>
      <c r="D3" s="370" t="s">
        <v>552</v>
      </c>
      <c r="E3" s="370" t="s">
        <v>579</v>
      </c>
      <c r="F3" s="370" t="s">
        <v>477</v>
      </c>
      <c r="G3" s="370" t="s">
        <v>552</v>
      </c>
      <c r="H3" s="370" t="s">
        <v>579</v>
      </c>
    </row>
    <row r="4" spans="1:8" ht="42" customHeight="1" x14ac:dyDescent="0.2">
      <c r="A4" s="689"/>
      <c r="B4" s="679"/>
      <c r="C4" s="411" t="s">
        <v>3</v>
      </c>
      <c r="D4" s="411" t="s">
        <v>4</v>
      </c>
      <c r="E4" s="411" t="s">
        <v>5</v>
      </c>
      <c r="F4" s="411" t="s">
        <v>3</v>
      </c>
      <c r="G4" s="411" t="s">
        <v>4</v>
      </c>
      <c r="H4" s="411" t="s">
        <v>5</v>
      </c>
    </row>
    <row r="5" spans="1:8" x14ac:dyDescent="0.2">
      <c r="A5" s="410">
        <v>1</v>
      </c>
      <c r="B5" s="410">
        <v>2</v>
      </c>
      <c r="C5" s="410">
        <v>3</v>
      </c>
      <c r="D5" s="410">
        <v>4</v>
      </c>
      <c r="E5" s="410">
        <v>5</v>
      </c>
      <c r="F5" s="410">
        <v>6</v>
      </c>
      <c r="G5" s="410">
        <v>7</v>
      </c>
      <c r="H5" s="410">
        <v>8</v>
      </c>
    </row>
    <row r="6" spans="1:8" ht="31.5" x14ac:dyDescent="0.25">
      <c r="A6" s="377" t="s">
        <v>681</v>
      </c>
      <c r="B6" s="378" t="s">
        <v>335</v>
      </c>
      <c r="C6" s="388">
        <v>102</v>
      </c>
      <c r="D6" s="388">
        <f t="shared" ref="D6:E27" si="0">C6</f>
        <v>102</v>
      </c>
      <c r="E6" s="388">
        <f t="shared" si="0"/>
        <v>102</v>
      </c>
      <c r="F6" s="393">
        <v>113210</v>
      </c>
      <c r="G6" s="393">
        <v>113210</v>
      </c>
      <c r="H6" s="393">
        <v>113210</v>
      </c>
    </row>
    <row r="7" spans="1:8" ht="31.5" x14ac:dyDescent="0.25">
      <c r="A7" s="377" t="s">
        <v>584</v>
      </c>
      <c r="B7" s="378" t="s">
        <v>336</v>
      </c>
      <c r="C7" s="388">
        <v>1</v>
      </c>
      <c r="D7" s="388">
        <f t="shared" si="0"/>
        <v>1</v>
      </c>
      <c r="E7" s="388">
        <f t="shared" si="0"/>
        <v>1</v>
      </c>
      <c r="F7" s="393">
        <v>0</v>
      </c>
      <c r="G7" s="393">
        <v>0</v>
      </c>
      <c r="H7" s="393">
        <v>0</v>
      </c>
    </row>
    <row r="8" spans="1:8" ht="31.5" x14ac:dyDescent="0.25">
      <c r="A8" s="377" t="s">
        <v>680</v>
      </c>
      <c r="B8" s="378" t="s">
        <v>40</v>
      </c>
      <c r="C8" s="388">
        <v>12</v>
      </c>
      <c r="D8" s="388">
        <f t="shared" si="0"/>
        <v>12</v>
      </c>
      <c r="E8" s="388">
        <f t="shared" si="0"/>
        <v>12</v>
      </c>
      <c r="F8" s="393">
        <v>95200</v>
      </c>
      <c r="G8" s="393">
        <v>70000</v>
      </c>
      <c r="H8" s="393">
        <v>70000</v>
      </c>
    </row>
    <row r="9" spans="1:8" ht="15.75" x14ac:dyDescent="0.25">
      <c r="A9" s="377" t="s">
        <v>585</v>
      </c>
      <c r="B9" s="378" t="s">
        <v>41</v>
      </c>
      <c r="C9" s="388">
        <v>12</v>
      </c>
      <c r="D9" s="388">
        <f t="shared" si="0"/>
        <v>12</v>
      </c>
      <c r="E9" s="388">
        <f t="shared" si="0"/>
        <v>12</v>
      </c>
      <c r="F9" s="393">
        <v>0</v>
      </c>
      <c r="G9" s="393">
        <v>0</v>
      </c>
      <c r="H9" s="393">
        <v>0</v>
      </c>
    </row>
    <row r="10" spans="1:8" ht="15.75" x14ac:dyDescent="0.25">
      <c r="A10" s="377" t="s">
        <v>638</v>
      </c>
      <c r="B10" s="378" t="s">
        <v>42</v>
      </c>
      <c r="C10" s="388">
        <v>14</v>
      </c>
      <c r="D10" s="388">
        <f t="shared" si="0"/>
        <v>14</v>
      </c>
      <c r="E10" s="388">
        <f t="shared" si="0"/>
        <v>14</v>
      </c>
      <c r="F10" s="393">
        <v>9000</v>
      </c>
      <c r="G10" s="393">
        <v>9000</v>
      </c>
      <c r="H10" s="393">
        <v>9000</v>
      </c>
    </row>
    <row r="11" spans="1:8" ht="31.5" x14ac:dyDescent="0.25">
      <c r="A11" s="377" t="s">
        <v>639</v>
      </c>
      <c r="B11" s="378" t="s">
        <v>337</v>
      </c>
      <c r="C11" s="388">
        <v>4</v>
      </c>
      <c r="D11" s="388">
        <f t="shared" si="0"/>
        <v>4</v>
      </c>
      <c r="E11" s="388">
        <f t="shared" si="0"/>
        <v>4</v>
      </c>
      <c r="F11" s="393">
        <v>0</v>
      </c>
      <c r="G11" s="393">
        <v>7700</v>
      </c>
      <c r="H11" s="393">
        <v>7700</v>
      </c>
    </row>
    <row r="12" spans="1:8" ht="31.5" x14ac:dyDescent="0.25">
      <c r="A12" s="377" t="s">
        <v>640</v>
      </c>
      <c r="B12" s="378" t="s">
        <v>338</v>
      </c>
      <c r="C12" s="388">
        <v>6</v>
      </c>
      <c r="D12" s="388">
        <f t="shared" si="0"/>
        <v>6</v>
      </c>
      <c r="E12" s="388">
        <f t="shared" si="0"/>
        <v>6</v>
      </c>
      <c r="F12" s="393">
        <v>1600</v>
      </c>
      <c r="G12" s="393">
        <v>1600</v>
      </c>
      <c r="H12" s="393">
        <v>1600</v>
      </c>
    </row>
    <row r="13" spans="1:8" ht="17.25" customHeight="1" x14ac:dyDescent="0.25">
      <c r="A13" s="377" t="s">
        <v>641</v>
      </c>
      <c r="B13" s="378" t="s">
        <v>339</v>
      </c>
      <c r="C13" s="388">
        <v>0</v>
      </c>
      <c r="D13" s="388">
        <f t="shared" si="0"/>
        <v>0</v>
      </c>
      <c r="E13" s="388">
        <f t="shared" si="0"/>
        <v>0</v>
      </c>
      <c r="F13" s="393">
        <v>0</v>
      </c>
      <c r="G13" s="393">
        <v>0</v>
      </c>
      <c r="H13" s="393">
        <v>0</v>
      </c>
    </row>
    <row r="14" spans="1:8" ht="15.75" x14ac:dyDescent="0.25">
      <c r="A14" s="377" t="s">
        <v>679</v>
      </c>
      <c r="B14" s="378" t="s">
        <v>678</v>
      </c>
      <c r="C14" s="388">
        <v>3600</v>
      </c>
      <c r="D14" s="388">
        <f t="shared" si="0"/>
        <v>3600</v>
      </c>
      <c r="E14" s="388">
        <f t="shared" si="0"/>
        <v>3600</v>
      </c>
      <c r="F14" s="393">
        <v>703296</v>
      </c>
      <c r="G14" s="393">
        <v>720000</v>
      </c>
      <c r="H14" s="393">
        <v>720000</v>
      </c>
    </row>
    <row r="15" spans="1:8" ht="12" customHeight="1" x14ac:dyDescent="0.25">
      <c r="A15" s="377" t="s">
        <v>677</v>
      </c>
      <c r="B15" s="378" t="s">
        <v>676</v>
      </c>
      <c r="C15" s="388">
        <v>1</v>
      </c>
      <c r="D15" s="388">
        <f t="shared" si="0"/>
        <v>1</v>
      </c>
      <c r="E15" s="388">
        <f t="shared" si="0"/>
        <v>1</v>
      </c>
      <c r="F15" s="393">
        <v>0</v>
      </c>
      <c r="G15" s="393">
        <v>0</v>
      </c>
      <c r="H15" s="393">
        <v>0</v>
      </c>
    </row>
    <row r="16" spans="1:8" ht="15" customHeight="1" x14ac:dyDescent="0.25">
      <c r="A16" s="377" t="s">
        <v>675</v>
      </c>
      <c r="B16" s="378" t="s">
        <v>674</v>
      </c>
      <c r="C16" s="388">
        <v>45</v>
      </c>
      <c r="D16" s="388">
        <f t="shared" si="0"/>
        <v>45</v>
      </c>
      <c r="E16" s="388">
        <f t="shared" si="0"/>
        <v>45</v>
      </c>
      <c r="F16" s="393">
        <v>21150</v>
      </c>
      <c r="G16" s="393">
        <v>21150</v>
      </c>
      <c r="H16" s="393">
        <v>21150</v>
      </c>
    </row>
    <row r="17" spans="1:10" ht="39.75" customHeight="1" x14ac:dyDescent="0.25">
      <c r="A17" s="377" t="s">
        <v>673</v>
      </c>
      <c r="B17" s="378" t="s">
        <v>672</v>
      </c>
      <c r="C17" s="388">
        <v>160</v>
      </c>
      <c r="D17" s="388">
        <f t="shared" si="0"/>
        <v>160</v>
      </c>
      <c r="E17" s="388">
        <f t="shared" si="0"/>
        <v>160</v>
      </c>
      <c r="F17" s="393">
        <v>333144</v>
      </c>
      <c r="G17" s="393">
        <v>444192</v>
      </c>
      <c r="H17" s="393">
        <v>444192</v>
      </c>
    </row>
    <row r="18" spans="1:10" ht="60.75" customHeight="1" x14ac:dyDescent="0.25">
      <c r="A18" s="377" t="s">
        <v>671</v>
      </c>
      <c r="B18" s="378" t="s">
        <v>670</v>
      </c>
      <c r="C18" s="388">
        <v>1</v>
      </c>
      <c r="D18" s="388">
        <f t="shared" si="0"/>
        <v>1</v>
      </c>
      <c r="E18" s="388">
        <f t="shared" si="0"/>
        <v>1</v>
      </c>
      <c r="F18" s="406">
        <v>0</v>
      </c>
      <c r="G18" s="406">
        <v>0</v>
      </c>
      <c r="H18" s="406">
        <v>0</v>
      </c>
    </row>
    <row r="19" spans="1:10" ht="15.75" customHeight="1" x14ac:dyDescent="0.25">
      <c r="A19" s="377" t="s">
        <v>669</v>
      </c>
      <c r="B19" s="378" t="s">
        <v>668</v>
      </c>
      <c r="C19" s="388">
        <v>1</v>
      </c>
      <c r="D19" s="388">
        <f t="shared" si="0"/>
        <v>1</v>
      </c>
      <c r="E19" s="388">
        <f t="shared" si="0"/>
        <v>1</v>
      </c>
      <c r="F19" s="393">
        <v>0</v>
      </c>
      <c r="G19" s="393">
        <v>0</v>
      </c>
      <c r="H19" s="393">
        <v>0</v>
      </c>
    </row>
    <row r="20" spans="1:10" ht="47.25" x14ac:dyDescent="0.25">
      <c r="A20" s="377" t="s">
        <v>667</v>
      </c>
      <c r="B20" s="378" t="s">
        <v>666</v>
      </c>
      <c r="C20" s="388">
        <v>39</v>
      </c>
      <c r="D20" s="388">
        <f t="shared" si="0"/>
        <v>39</v>
      </c>
      <c r="E20" s="388">
        <f t="shared" si="0"/>
        <v>39</v>
      </c>
      <c r="F20" s="393">
        <v>16500</v>
      </c>
      <c r="G20" s="393">
        <v>12000</v>
      </c>
      <c r="H20" s="393">
        <v>12000</v>
      </c>
    </row>
    <row r="21" spans="1:10" ht="31.5" x14ac:dyDescent="0.25">
      <c r="A21" s="377" t="s">
        <v>478</v>
      </c>
      <c r="B21" s="378" t="s">
        <v>665</v>
      </c>
      <c r="C21" s="388">
        <v>8</v>
      </c>
      <c r="D21" s="388">
        <f t="shared" si="0"/>
        <v>8</v>
      </c>
      <c r="E21" s="388">
        <f t="shared" si="0"/>
        <v>8</v>
      </c>
      <c r="F21" s="393">
        <v>5074.82</v>
      </c>
      <c r="G21" s="393">
        <v>26674.82</v>
      </c>
      <c r="H21" s="393">
        <v>26674.82</v>
      </c>
    </row>
    <row r="22" spans="1:10" ht="26.25" customHeight="1" x14ac:dyDescent="0.25">
      <c r="A22" s="409" t="s">
        <v>664</v>
      </c>
      <c r="B22" s="378" t="s">
        <v>663</v>
      </c>
      <c r="C22" s="388">
        <v>1</v>
      </c>
      <c r="D22" s="388">
        <f t="shared" si="0"/>
        <v>1</v>
      </c>
      <c r="E22" s="388">
        <f t="shared" si="0"/>
        <v>1</v>
      </c>
      <c r="F22" s="393">
        <v>0</v>
      </c>
      <c r="G22" s="393">
        <v>0</v>
      </c>
      <c r="H22" s="393">
        <v>0</v>
      </c>
      <c r="I22" s="61"/>
      <c r="J22" s="61"/>
    </row>
    <row r="23" spans="1:10" ht="48" customHeight="1" x14ac:dyDescent="0.25">
      <c r="A23" s="408" t="s">
        <v>662</v>
      </c>
      <c r="B23" s="378" t="s">
        <v>661</v>
      </c>
      <c r="C23" s="388">
        <v>1</v>
      </c>
      <c r="D23" s="388">
        <f t="shared" si="0"/>
        <v>1</v>
      </c>
      <c r="E23" s="388">
        <f t="shared" si="0"/>
        <v>1</v>
      </c>
      <c r="F23" s="393">
        <v>0</v>
      </c>
      <c r="G23" s="393">
        <v>0</v>
      </c>
      <c r="H23" s="393">
        <v>0</v>
      </c>
    </row>
    <row r="24" spans="1:10" ht="18" customHeight="1" x14ac:dyDescent="0.25">
      <c r="A24" s="377" t="s">
        <v>660</v>
      </c>
      <c r="B24" s="378" t="s">
        <v>659</v>
      </c>
      <c r="C24" s="388">
        <v>12</v>
      </c>
      <c r="D24" s="388">
        <f t="shared" si="0"/>
        <v>12</v>
      </c>
      <c r="E24" s="388">
        <f t="shared" si="0"/>
        <v>12</v>
      </c>
      <c r="F24" s="393">
        <v>24000</v>
      </c>
      <c r="G24" s="393">
        <v>24000</v>
      </c>
      <c r="H24" s="393">
        <v>24000</v>
      </c>
    </row>
    <row r="25" spans="1:10" ht="31.5" x14ac:dyDescent="0.25">
      <c r="A25" s="377" t="s">
        <v>658</v>
      </c>
      <c r="B25" s="378" t="s">
        <v>657</v>
      </c>
      <c r="C25" s="388">
        <v>1</v>
      </c>
      <c r="D25" s="388">
        <f t="shared" si="0"/>
        <v>1</v>
      </c>
      <c r="E25" s="388">
        <f t="shared" si="0"/>
        <v>1</v>
      </c>
      <c r="F25" s="393">
        <v>0</v>
      </c>
      <c r="G25" s="393">
        <v>0</v>
      </c>
      <c r="H25" s="393">
        <v>0</v>
      </c>
    </row>
    <row r="26" spans="1:10" ht="15.75" x14ac:dyDescent="0.25">
      <c r="A26" s="388" t="s">
        <v>656</v>
      </c>
      <c r="B26" s="378" t="s">
        <v>655</v>
      </c>
      <c r="C26" s="388">
        <v>1</v>
      </c>
      <c r="D26" s="388">
        <f t="shared" si="0"/>
        <v>1</v>
      </c>
      <c r="E26" s="388">
        <f t="shared" si="0"/>
        <v>1</v>
      </c>
      <c r="F26" s="393">
        <v>0</v>
      </c>
      <c r="G26" s="393">
        <v>0</v>
      </c>
      <c r="H26" s="393">
        <v>0</v>
      </c>
    </row>
    <row r="27" spans="1:10" ht="15.75" x14ac:dyDescent="0.25">
      <c r="A27" s="388" t="s">
        <v>654</v>
      </c>
      <c r="B27" s="378" t="s">
        <v>653</v>
      </c>
      <c r="C27" s="388">
        <v>1</v>
      </c>
      <c r="D27" s="388">
        <f t="shared" si="0"/>
        <v>1</v>
      </c>
      <c r="E27" s="388">
        <f t="shared" si="0"/>
        <v>1</v>
      </c>
      <c r="F27" s="393">
        <v>0</v>
      </c>
      <c r="G27" s="393">
        <v>0</v>
      </c>
      <c r="H27" s="393">
        <v>0</v>
      </c>
    </row>
    <row r="28" spans="1:10" ht="15.75" x14ac:dyDescent="0.25">
      <c r="A28" s="388"/>
      <c r="B28" s="378" t="s">
        <v>652</v>
      </c>
      <c r="C28" s="388"/>
      <c r="D28" s="388"/>
      <c r="E28" s="388"/>
      <c r="F28" s="388"/>
      <c r="G28" s="388"/>
      <c r="H28" s="388"/>
    </row>
    <row r="29" spans="1:10" ht="15.75" hidden="1" outlineLevel="1" x14ac:dyDescent="0.25">
      <c r="B29" s="407" t="s">
        <v>651</v>
      </c>
      <c r="C29" s="388"/>
      <c r="D29" s="388"/>
      <c r="E29" s="388"/>
      <c r="F29" s="397"/>
      <c r="G29" s="397"/>
      <c r="H29" s="397"/>
    </row>
    <row r="30" spans="1:10" ht="15.75" hidden="1" outlineLevel="1" x14ac:dyDescent="0.25">
      <c r="B30" s="378" t="s">
        <v>650</v>
      </c>
      <c r="C30" s="388"/>
      <c r="D30" s="388"/>
      <c r="E30" s="388"/>
      <c r="F30" s="397"/>
      <c r="G30" s="397"/>
      <c r="H30" s="397"/>
    </row>
    <row r="31" spans="1:10" ht="15.75" hidden="1" outlineLevel="1" x14ac:dyDescent="0.25">
      <c r="B31" s="378" t="s">
        <v>649</v>
      </c>
      <c r="C31" s="388"/>
      <c r="D31" s="388"/>
      <c r="E31" s="388"/>
      <c r="F31" s="397"/>
      <c r="G31" s="397"/>
      <c r="H31" s="397"/>
    </row>
    <row r="32" spans="1:10" ht="15.75" hidden="1" outlineLevel="1" x14ac:dyDescent="0.25">
      <c r="B32" s="378" t="s">
        <v>648</v>
      </c>
      <c r="C32" s="388"/>
      <c r="D32" s="388"/>
      <c r="E32" s="388"/>
      <c r="F32" s="397"/>
      <c r="G32" s="397"/>
      <c r="H32" s="397"/>
    </row>
    <row r="33" spans="1:9" ht="15.75" hidden="1" outlineLevel="1" x14ac:dyDescent="0.25">
      <c r="B33" s="378" t="s">
        <v>647</v>
      </c>
      <c r="C33" s="388"/>
      <c r="D33" s="388"/>
      <c r="E33" s="388"/>
      <c r="F33" s="397"/>
      <c r="G33" s="397"/>
      <c r="H33" s="397"/>
    </row>
    <row r="34" spans="1:9" ht="15.75" hidden="1" outlineLevel="1" x14ac:dyDescent="0.25">
      <c r="B34" s="378" t="s">
        <v>646</v>
      </c>
      <c r="C34" s="388"/>
      <c r="D34" s="388"/>
      <c r="E34" s="388"/>
      <c r="F34" s="397"/>
      <c r="G34" s="397"/>
      <c r="H34" s="397"/>
    </row>
    <row r="35" spans="1:9" ht="15.75" hidden="1" outlineLevel="1" x14ac:dyDescent="0.25">
      <c r="B35" s="378">
        <v>36</v>
      </c>
      <c r="C35" s="388"/>
      <c r="D35" s="388"/>
      <c r="E35" s="388"/>
      <c r="F35" s="397"/>
      <c r="G35" s="397"/>
      <c r="H35" s="397"/>
    </row>
    <row r="36" spans="1:9" ht="15.75" hidden="1" outlineLevel="1" x14ac:dyDescent="0.25">
      <c r="B36" s="378" t="s">
        <v>645</v>
      </c>
      <c r="C36" s="388"/>
      <c r="D36" s="388"/>
      <c r="E36" s="388"/>
      <c r="F36" s="397"/>
      <c r="G36" s="397"/>
      <c r="H36" s="397"/>
    </row>
    <row r="37" spans="1:9" ht="15.75" hidden="1" outlineLevel="1" x14ac:dyDescent="0.25">
      <c r="B37" s="378" t="s">
        <v>644</v>
      </c>
      <c r="C37" s="388"/>
      <c r="D37" s="388"/>
      <c r="E37" s="388"/>
      <c r="F37" s="397"/>
      <c r="G37" s="397"/>
      <c r="H37" s="397"/>
    </row>
    <row r="38" spans="1:9" ht="15.75" collapsed="1" x14ac:dyDescent="0.25">
      <c r="A38" s="377" t="s">
        <v>473</v>
      </c>
      <c r="B38" s="378" t="s">
        <v>643</v>
      </c>
      <c r="C38" s="388">
        <v>1</v>
      </c>
      <c r="D38" s="388">
        <f>C38</f>
        <v>1</v>
      </c>
      <c r="E38" s="388">
        <f>D38</f>
        <v>1</v>
      </c>
      <c r="F38" s="406">
        <v>350000</v>
      </c>
      <c r="G38" s="406">
        <v>0</v>
      </c>
      <c r="H38" s="406">
        <v>0</v>
      </c>
    </row>
    <row r="39" spans="1:9" ht="15.75" x14ac:dyDescent="0.25">
      <c r="A39" s="377" t="s">
        <v>472</v>
      </c>
      <c r="B39" s="378" t="s">
        <v>642</v>
      </c>
      <c r="C39" s="388">
        <v>1</v>
      </c>
      <c r="D39" s="388">
        <f>C39</f>
        <v>1</v>
      </c>
      <c r="E39" s="388">
        <f>D39</f>
        <v>1</v>
      </c>
      <c r="F39" s="406">
        <v>0</v>
      </c>
      <c r="G39" s="406">
        <v>0</v>
      </c>
      <c r="H39" s="406">
        <v>0</v>
      </c>
    </row>
    <row r="40" spans="1:9" ht="15.75" x14ac:dyDescent="0.25">
      <c r="A40" s="383" t="s">
        <v>13</v>
      </c>
      <c r="B40" s="384">
        <v>9000</v>
      </c>
      <c r="F40" s="389">
        <f>SUM(F6:F27)-F18</f>
        <v>1322174.82</v>
      </c>
      <c r="G40" s="389">
        <f>SUM(G6:G27)</f>
        <v>1449526.82</v>
      </c>
      <c r="H40" s="389">
        <f>SUM(H6:H27)</f>
        <v>1449526.82</v>
      </c>
    </row>
    <row r="41" spans="1:9" ht="15.75" x14ac:dyDescent="0.25">
      <c r="F41" s="405">
        <v>1322174.8199999998</v>
      </c>
      <c r="G41" s="405">
        <v>1449526.8199999998</v>
      </c>
      <c r="H41" s="405">
        <v>1449526.8199999998</v>
      </c>
    </row>
    <row r="42" spans="1:9" ht="15.75" x14ac:dyDescent="0.25">
      <c r="F42" s="405">
        <f>F41-F40</f>
        <v>0</v>
      </c>
      <c r="G42" s="405">
        <f>G41-G40</f>
        <v>0</v>
      </c>
      <c r="H42" s="405">
        <f>H41-H40</f>
        <v>0</v>
      </c>
    </row>
    <row r="43" spans="1:9" ht="15.75" x14ac:dyDescent="0.25">
      <c r="E43" s="397">
        <v>112</v>
      </c>
      <c r="F43" s="404">
        <f>$F$18</f>
        <v>0</v>
      </c>
      <c r="G43" s="404">
        <f>$G$18</f>
        <v>0</v>
      </c>
      <c r="H43" s="403">
        <f>$H$18</f>
        <v>0</v>
      </c>
      <c r="I43" s="397"/>
    </row>
    <row r="44" spans="1:9" ht="15.75" x14ac:dyDescent="0.25">
      <c r="E44" s="397"/>
      <c r="F44" s="402">
        <v>0</v>
      </c>
      <c r="G44" s="401">
        <v>0</v>
      </c>
      <c r="H44" s="400">
        <v>0</v>
      </c>
      <c r="I44" s="397"/>
    </row>
    <row r="45" spans="1:9" ht="15.75" x14ac:dyDescent="0.25">
      <c r="E45" s="397"/>
      <c r="F45" s="399">
        <f>F43-F44</f>
        <v>0</v>
      </c>
      <c r="G45" s="399">
        <f>G43-G44</f>
        <v>0</v>
      </c>
      <c r="H45" s="398">
        <f>H43-H44</f>
        <v>0</v>
      </c>
      <c r="I45" s="397"/>
    </row>
    <row r="46" spans="1:9" ht="15.75" x14ac:dyDescent="0.25">
      <c r="E46" s="397"/>
      <c r="F46" s="397"/>
      <c r="G46" s="397"/>
      <c r="H46" s="397"/>
      <c r="I46" s="397"/>
    </row>
    <row r="47" spans="1:9" ht="15.75" x14ac:dyDescent="0.25">
      <c r="E47" s="397"/>
      <c r="F47" s="397"/>
      <c r="G47" s="397"/>
      <c r="H47" s="397"/>
      <c r="I47" s="397"/>
    </row>
    <row r="48" spans="1:9" ht="15.75" x14ac:dyDescent="0.25">
      <c r="E48" s="397"/>
      <c r="F48" s="397"/>
      <c r="G48" s="397"/>
      <c r="H48" s="397"/>
      <c r="I48" s="397"/>
    </row>
  </sheetData>
  <mergeCells count="5">
    <mergeCell ref="A1:H1"/>
    <mergeCell ref="A2:A4"/>
    <mergeCell ref="B2:B4"/>
    <mergeCell ref="C2:E2"/>
    <mergeCell ref="F2:H2"/>
  </mergeCells>
  <pageMargins left="0.70866141732283472" right="0.70866141732283472" top="0.74803149606299213" bottom="0.74803149606299213" header="0.31496062992125984" footer="0.31496062992125984"/>
  <pageSetup paperSize="9" scale="6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view="pageBreakPreview" zoomScaleNormal="100" zoomScaleSheetLayoutView="100" workbookViewId="0">
      <selection activeCell="E22" sqref="E22"/>
    </sheetView>
  </sheetViews>
  <sheetFormatPr defaultRowHeight="12.75" x14ac:dyDescent="0.2"/>
  <cols>
    <col min="1" max="1" width="39" customWidth="1"/>
    <col min="3" max="3" width="13.140625" bestFit="1" customWidth="1"/>
    <col min="6" max="6" width="11.7109375" customWidth="1"/>
    <col min="7" max="8" width="11.85546875" customWidth="1"/>
    <col min="9" max="9" width="10.85546875" customWidth="1"/>
    <col min="10" max="10" width="12.42578125" customWidth="1"/>
    <col min="11" max="11" width="10.85546875" customWidth="1"/>
  </cols>
  <sheetData>
    <row r="1" spans="1:11" ht="29.25" customHeight="1" x14ac:dyDescent="0.2">
      <c r="A1" s="690" t="s">
        <v>635</v>
      </c>
      <c r="B1" s="691"/>
      <c r="C1" s="691"/>
      <c r="D1" s="691"/>
      <c r="E1" s="691"/>
      <c r="F1" s="691"/>
      <c r="G1" s="691"/>
      <c r="H1" s="691"/>
      <c r="I1" s="691"/>
      <c r="J1" s="691"/>
      <c r="K1" s="691"/>
    </row>
    <row r="2" spans="1:11" x14ac:dyDescent="0.2">
      <c r="A2" s="679" t="s">
        <v>1</v>
      </c>
      <c r="B2" s="679" t="s">
        <v>129</v>
      </c>
      <c r="C2" s="679" t="s">
        <v>636</v>
      </c>
      <c r="D2" s="679"/>
      <c r="E2" s="679"/>
      <c r="F2" s="679" t="s">
        <v>637</v>
      </c>
      <c r="G2" s="679"/>
      <c r="H2" s="679"/>
      <c r="I2" s="679" t="s">
        <v>21</v>
      </c>
      <c r="J2" s="679"/>
      <c r="K2" s="679"/>
    </row>
    <row r="3" spans="1:11" x14ac:dyDescent="0.2">
      <c r="A3" s="679"/>
      <c r="B3" s="679"/>
      <c r="C3" s="370" t="s">
        <v>477</v>
      </c>
      <c r="D3" s="370" t="s">
        <v>552</v>
      </c>
      <c r="E3" s="370" t="s">
        <v>579</v>
      </c>
      <c r="F3" s="370" t="s">
        <v>477</v>
      </c>
      <c r="G3" s="370" t="s">
        <v>552</v>
      </c>
      <c r="H3" s="370" t="s">
        <v>579</v>
      </c>
      <c r="I3" s="370" t="s">
        <v>477</v>
      </c>
      <c r="J3" s="370" t="s">
        <v>552</v>
      </c>
      <c r="K3" s="370" t="s">
        <v>579</v>
      </c>
    </row>
    <row r="4" spans="1:11" ht="63.75" x14ac:dyDescent="0.2">
      <c r="A4" s="679"/>
      <c r="B4" s="679"/>
      <c r="C4" s="373" t="s">
        <v>3</v>
      </c>
      <c r="D4" s="373" t="s">
        <v>4</v>
      </c>
      <c r="E4" s="373" t="s">
        <v>5</v>
      </c>
      <c r="F4" s="373" t="s">
        <v>3</v>
      </c>
      <c r="G4" s="373" t="s">
        <v>4</v>
      </c>
      <c r="H4" s="373" t="s">
        <v>5</v>
      </c>
      <c r="I4" s="373" t="s">
        <v>3</v>
      </c>
      <c r="J4" s="373" t="s">
        <v>4</v>
      </c>
      <c r="K4" s="373" t="s">
        <v>5</v>
      </c>
    </row>
    <row r="5" spans="1:11" x14ac:dyDescent="0.2">
      <c r="A5" s="390">
        <v>1</v>
      </c>
      <c r="B5" s="390">
        <v>2</v>
      </c>
      <c r="C5" s="390">
        <v>3</v>
      </c>
      <c r="D5" s="390">
        <v>4</v>
      </c>
      <c r="E5" s="390">
        <v>5</v>
      </c>
      <c r="F5" s="390">
        <v>6</v>
      </c>
      <c r="G5" s="390">
        <v>7</v>
      </c>
      <c r="H5" s="390">
        <v>8</v>
      </c>
      <c r="I5" s="390">
        <v>9</v>
      </c>
      <c r="J5" s="390">
        <v>10</v>
      </c>
      <c r="K5" s="390">
        <v>11</v>
      </c>
    </row>
    <row r="6" spans="1:11" ht="16.5" customHeight="1" x14ac:dyDescent="0.25">
      <c r="A6" s="377" t="s">
        <v>638</v>
      </c>
      <c r="B6" s="391">
        <v>1</v>
      </c>
      <c r="C6" s="384">
        <f>INT(I6/F6)</f>
        <v>5</v>
      </c>
      <c r="D6" s="384">
        <f>INT(J6/G6)</f>
        <v>5</v>
      </c>
      <c r="E6" s="384">
        <f>INT(K6/H6)</f>
        <v>5</v>
      </c>
      <c r="F6" s="392">
        <v>1800</v>
      </c>
      <c r="G6" s="392">
        <f>F6</f>
        <v>1800</v>
      </c>
      <c r="H6" s="392">
        <f>G6</f>
        <v>1800</v>
      </c>
      <c r="I6" s="393">
        <v>9000</v>
      </c>
      <c r="J6" s="393">
        <v>9000</v>
      </c>
      <c r="K6" s="393">
        <v>9000</v>
      </c>
    </row>
    <row r="7" spans="1:11" ht="16.5" customHeight="1" x14ac:dyDescent="0.25">
      <c r="A7" s="377" t="s">
        <v>639</v>
      </c>
      <c r="B7" s="391">
        <v>2</v>
      </c>
      <c r="C7" s="384">
        <f t="shared" ref="C7:E9" si="0">INT(I7/F7)</f>
        <v>0</v>
      </c>
      <c r="D7" s="384">
        <f t="shared" si="0"/>
        <v>1</v>
      </c>
      <c r="E7" s="384">
        <f t="shared" si="0"/>
        <v>1</v>
      </c>
      <c r="F7" s="392">
        <v>4500</v>
      </c>
      <c r="G7" s="392">
        <f t="shared" ref="G7:H9" si="1">F7</f>
        <v>4500</v>
      </c>
      <c r="H7" s="392">
        <f t="shared" si="1"/>
        <v>4500</v>
      </c>
      <c r="I7" s="393">
        <v>0</v>
      </c>
      <c r="J7" s="393">
        <v>7700</v>
      </c>
      <c r="K7" s="393">
        <v>7700</v>
      </c>
    </row>
    <row r="8" spans="1:11" ht="16.5" customHeight="1" x14ac:dyDescent="0.25">
      <c r="A8" s="377" t="s">
        <v>640</v>
      </c>
      <c r="B8" s="391">
        <v>3</v>
      </c>
      <c r="C8" s="384">
        <f t="shared" si="0"/>
        <v>1</v>
      </c>
      <c r="D8" s="384">
        <f t="shared" si="0"/>
        <v>1</v>
      </c>
      <c r="E8" s="384">
        <f t="shared" si="0"/>
        <v>1</v>
      </c>
      <c r="F8" s="392">
        <v>1100</v>
      </c>
      <c r="G8" s="392">
        <f t="shared" si="1"/>
        <v>1100</v>
      </c>
      <c r="H8" s="392">
        <f t="shared" si="1"/>
        <v>1100</v>
      </c>
      <c r="I8" s="393">
        <v>1600</v>
      </c>
      <c r="J8" s="393">
        <v>1600</v>
      </c>
      <c r="K8" s="393">
        <v>1600</v>
      </c>
    </row>
    <row r="9" spans="1:11" ht="16.5" customHeight="1" x14ac:dyDescent="0.25">
      <c r="A9" s="377" t="s">
        <v>641</v>
      </c>
      <c r="B9" s="391">
        <v>4</v>
      </c>
      <c r="C9" s="384">
        <f t="shared" si="0"/>
        <v>0</v>
      </c>
      <c r="D9" s="384">
        <f t="shared" si="0"/>
        <v>0</v>
      </c>
      <c r="E9" s="384">
        <f t="shared" si="0"/>
        <v>0</v>
      </c>
      <c r="F9" s="394">
        <v>10000</v>
      </c>
      <c r="G9" s="392">
        <f t="shared" si="1"/>
        <v>10000</v>
      </c>
      <c r="H9" s="392">
        <f t="shared" si="1"/>
        <v>10000</v>
      </c>
      <c r="I9" s="393">
        <v>0</v>
      </c>
      <c r="J9" s="393">
        <v>0</v>
      </c>
      <c r="K9" s="393">
        <v>0</v>
      </c>
    </row>
    <row r="10" spans="1:11" ht="16.5" customHeight="1" x14ac:dyDescent="0.25">
      <c r="A10" s="377"/>
      <c r="B10" s="391">
        <v>5</v>
      </c>
      <c r="C10" s="395"/>
      <c r="D10" s="395"/>
      <c r="E10" s="395"/>
      <c r="F10" s="395"/>
      <c r="G10" s="395"/>
      <c r="H10" s="395"/>
      <c r="I10" s="395"/>
      <c r="J10" s="395"/>
      <c r="K10" s="395"/>
    </row>
    <row r="11" spans="1:11" ht="15.75" x14ac:dyDescent="0.2">
      <c r="A11" s="280" t="s">
        <v>13</v>
      </c>
      <c r="B11" s="391">
        <v>9000</v>
      </c>
      <c r="C11" s="391" t="s">
        <v>14</v>
      </c>
      <c r="D11" s="391" t="s">
        <v>14</v>
      </c>
      <c r="E11" s="391" t="s">
        <v>14</v>
      </c>
      <c r="F11" s="391" t="s">
        <v>14</v>
      </c>
      <c r="G11" s="391" t="s">
        <v>14</v>
      </c>
      <c r="H11" s="391" t="s">
        <v>14</v>
      </c>
      <c r="I11" s="396">
        <f>SUM(I6:I10)</f>
        <v>10600</v>
      </c>
      <c r="J11" s="396">
        <f t="shared" ref="J11:K11" si="2">SUM(J6:J10)</f>
        <v>18300</v>
      </c>
      <c r="K11" s="396">
        <f t="shared" si="2"/>
        <v>18300</v>
      </c>
    </row>
  </sheetData>
  <mergeCells count="6">
    <mergeCell ref="A1:K1"/>
    <mergeCell ref="A2:A4"/>
    <mergeCell ref="B2:B4"/>
    <mergeCell ref="C2:E2"/>
    <mergeCell ref="F2:H2"/>
    <mergeCell ref="I2:K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view="pageBreakPreview" zoomScale="120" zoomScaleSheetLayoutView="120" workbookViewId="0">
      <selection activeCell="A6" sqref="A6:H8"/>
    </sheetView>
  </sheetViews>
  <sheetFormatPr defaultRowHeight="12.75" x14ac:dyDescent="0.2"/>
  <cols>
    <col min="1" max="1" width="27.140625" customWidth="1"/>
    <col min="2" max="2" width="7.28515625" customWidth="1"/>
    <col min="4" max="4" width="13.28515625" customWidth="1"/>
    <col min="5" max="5" width="11.28515625" customWidth="1"/>
    <col min="6" max="6" width="9.5703125" bestFit="1" customWidth="1"/>
    <col min="7" max="7" width="11.42578125" bestFit="1" customWidth="1"/>
    <col min="8" max="8" width="11.28515625" bestFit="1" customWidth="1"/>
    <col min="9" max="9" width="9.5703125" bestFit="1" customWidth="1"/>
    <col min="10" max="10" width="11.28515625" bestFit="1" customWidth="1"/>
    <col min="11" max="11" width="11.140625" bestFit="1" customWidth="1"/>
  </cols>
  <sheetData>
    <row r="1" spans="1:13" ht="18.75" customHeight="1" x14ac:dyDescent="0.2">
      <c r="A1" s="664" t="s">
        <v>407</v>
      </c>
      <c r="B1" s="665"/>
      <c r="C1" s="665"/>
      <c r="D1" s="665"/>
      <c r="E1" s="665"/>
      <c r="F1" s="665"/>
      <c r="G1" s="665"/>
      <c r="H1" s="665"/>
      <c r="I1" s="665"/>
      <c r="J1" s="665"/>
      <c r="K1" s="666"/>
    </row>
    <row r="2" spans="1:13" ht="36.75" customHeight="1" x14ac:dyDescent="0.2">
      <c r="A2" s="667" t="s">
        <v>1</v>
      </c>
      <c r="B2" s="670" t="s">
        <v>2</v>
      </c>
      <c r="C2" s="692" t="s">
        <v>19</v>
      </c>
      <c r="D2" s="693"/>
      <c r="E2" s="694"/>
      <c r="F2" s="695" t="s">
        <v>20</v>
      </c>
      <c r="G2" s="696"/>
      <c r="H2" s="696"/>
      <c r="I2" s="697" t="s">
        <v>21</v>
      </c>
      <c r="J2" s="698"/>
      <c r="K2" s="699"/>
    </row>
    <row r="3" spans="1:13" ht="21" customHeight="1" x14ac:dyDescent="0.2">
      <c r="A3" s="668"/>
      <c r="B3" s="671"/>
      <c r="C3" s="272" t="s">
        <v>477</v>
      </c>
      <c r="D3" s="272" t="s">
        <v>552</v>
      </c>
      <c r="E3" s="272" t="s">
        <v>579</v>
      </c>
      <c r="F3" s="272" t="s">
        <v>477</v>
      </c>
      <c r="G3" s="272" t="s">
        <v>552</v>
      </c>
      <c r="H3" s="272" t="s">
        <v>579</v>
      </c>
      <c r="I3" s="272" t="s">
        <v>477</v>
      </c>
      <c r="J3" s="272" t="s">
        <v>552</v>
      </c>
      <c r="K3" s="272" t="s">
        <v>579</v>
      </c>
    </row>
    <row r="4" spans="1:13" ht="42" customHeight="1" x14ac:dyDescent="0.2">
      <c r="A4" s="669"/>
      <c r="B4" s="672"/>
      <c r="C4" s="3" t="s">
        <v>3</v>
      </c>
      <c r="D4" s="3" t="s">
        <v>4</v>
      </c>
      <c r="E4" s="3" t="s">
        <v>5</v>
      </c>
      <c r="F4" s="3" t="s">
        <v>3</v>
      </c>
      <c r="G4" s="3" t="s">
        <v>4</v>
      </c>
      <c r="H4" s="3" t="s">
        <v>5</v>
      </c>
      <c r="I4" s="3" t="s">
        <v>3</v>
      </c>
      <c r="J4" s="3" t="s">
        <v>4</v>
      </c>
      <c r="K4" s="3" t="s">
        <v>5</v>
      </c>
    </row>
    <row r="5" spans="1:13" x14ac:dyDescent="0.2">
      <c r="A5" s="1">
        <v>1</v>
      </c>
      <c r="B5" s="1">
        <v>2</v>
      </c>
      <c r="C5" s="1">
        <v>3</v>
      </c>
      <c r="D5" s="1">
        <v>4</v>
      </c>
      <c r="E5" s="1">
        <v>5</v>
      </c>
      <c r="F5" s="1">
        <v>6</v>
      </c>
      <c r="G5" s="1">
        <v>7</v>
      </c>
      <c r="H5" s="1">
        <v>8</v>
      </c>
      <c r="I5" s="1">
        <v>9</v>
      </c>
      <c r="J5" s="1">
        <v>10</v>
      </c>
      <c r="K5" s="1">
        <v>11</v>
      </c>
    </row>
    <row r="6" spans="1:13" ht="15.75" x14ac:dyDescent="0.25">
      <c r="A6" s="388" t="s">
        <v>408</v>
      </c>
      <c r="B6" s="378" t="s">
        <v>335</v>
      </c>
      <c r="C6" s="388">
        <v>1</v>
      </c>
      <c r="D6" s="388">
        <v>1</v>
      </c>
      <c r="E6" s="388">
        <v>1</v>
      </c>
      <c r="F6" s="389">
        <f>I6/C6</f>
        <v>0</v>
      </c>
      <c r="G6" s="389">
        <f>F6</f>
        <v>0</v>
      </c>
      <c r="H6" s="389">
        <f>G6</f>
        <v>0</v>
      </c>
      <c r="I6" s="226">
        <v>0</v>
      </c>
      <c r="J6" s="226">
        <v>0</v>
      </c>
      <c r="K6" s="226">
        <v>0</v>
      </c>
    </row>
    <row r="7" spans="1:13" ht="15.75" x14ac:dyDescent="0.25">
      <c r="A7" s="388"/>
      <c r="B7" s="378" t="s">
        <v>336</v>
      </c>
      <c r="C7" s="388"/>
      <c r="D7" s="388"/>
      <c r="E7" s="388"/>
      <c r="F7" s="389"/>
      <c r="G7" s="389"/>
      <c r="H7" s="389"/>
      <c r="I7" s="226"/>
      <c r="J7" s="226"/>
      <c r="K7" s="226"/>
    </row>
    <row r="8" spans="1:13" ht="15.75" x14ac:dyDescent="0.25">
      <c r="A8" s="383" t="s">
        <v>13</v>
      </c>
      <c r="B8" s="384">
        <v>9000</v>
      </c>
      <c r="C8" s="388" t="s">
        <v>14</v>
      </c>
      <c r="D8" s="388" t="s">
        <v>14</v>
      </c>
      <c r="E8" s="388" t="s">
        <v>14</v>
      </c>
      <c r="F8" s="389" t="s">
        <v>14</v>
      </c>
      <c r="G8" s="389" t="s">
        <v>14</v>
      </c>
      <c r="H8" s="389" t="s">
        <v>14</v>
      </c>
      <c r="I8" s="62">
        <f>SUM(I6:I6)</f>
        <v>0</v>
      </c>
      <c r="J8" s="62">
        <f>SUM(J6:J6)</f>
        <v>0</v>
      </c>
      <c r="K8" s="62">
        <f>SUM(K6:K6)</f>
        <v>0</v>
      </c>
      <c r="L8" s="61">
        <v>0</v>
      </c>
      <c r="M8" s="61">
        <f>I8-L8</f>
        <v>0</v>
      </c>
    </row>
  </sheetData>
  <customSheetViews>
    <customSheetView guid="{DC13F25B-CAA7-4E25-AFF1-0DCF9AD75BDE}" scale="120" showPageBreaks="1" fitToPage="1" printArea="1" view="pageBreakPreview">
      <selection activeCell="J6" sqref="J6:K6"/>
      <pageMargins left="0.70866141732283472" right="0.70866141732283472" top="0.74803149606299213" bottom="0.74803149606299213" header="0.31496062992125984" footer="0.31496062992125984"/>
      <pageSetup paperSize="9" orientation="landscape" r:id="rId1"/>
    </customSheetView>
    <customSheetView guid="{6AD2622C-AF85-4997-AA93-A54C85AD6D68}" scale="120" showPageBreaks="1" fitToPage="1" printArea="1" view="pageBreakPreview">
      <selection activeCell="L9" sqref="L9"/>
      <pageMargins left="0.70866141732283472" right="0.70866141732283472" top="0.74803149606299213" bottom="0.74803149606299213" header="0.31496062992125984" footer="0.31496062992125984"/>
      <pageSetup paperSize="9" scale="99" orientation="landscape" r:id="rId2"/>
    </customSheetView>
    <customSheetView guid="{C88A4605-0F8D-4713-9317-AF13632C8FA6}" scale="120" showPageBreaks="1" fitToPage="1" printArea="1" view="pageBreakPreview">
      <selection activeCell="L9" sqref="L9"/>
      <pageMargins left="0.70866141732283472" right="0.70866141732283472" top="0.74803149606299213" bottom="0.74803149606299213" header="0.31496062992125984" footer="0.31496062992125984"/>
      <pageSetup paperSize="9" scale="99" orientation="landscape" r:id="rId3"/>
    </customSheetView>
    <customSheetView guid="{84CC8968-6D7C-41C4-B973-ECD381BB63FC}" scale="120" showPageBreaks="1" fitToPage="1" printArea="1" state="hidden" view="pageBreakPreview">
      <selection activeCell="N10" sqref="N10"/>
      <pageMargins left="0.70866141732283472" right="0.70866141732283472" top="0.74803149606299213" bottom="0.74803149606299213" header="0.31496062992125984" footer="0.31496062992125984"/>
      <pageSetup paperSize="9" orientation="landscape" r:id="rId4"/>
    </customSheetView>
    <customSheetView guid="{C47F8591-E97A-4739-B299-8B7B5E22A2DD}" scale="120" showPageBreaks="1" fitToPage="1" printArea="1" view="pageBreakPreview">
      <selection activeCell="J6" sqref="J6:K6"/>
      <pageMargins left="0.70866141732283472" right="0.70866141732283472" top="0.74803149606299213" bottom="0.74803149606299213" header="0.31496062992125984" footer="0.31496062992125984"/>
      <pageSetup paperSize="9" orientation="landscape" r:id="rId5"/>
    </customSheetView>
  </customSheetViews>
  <mergeCells count="6">
    <mergeCell ref="A1:K1"/>
    <mergeCell ref="A2:A4"/>
    <mergeCell ref="B2:B4"/>
    <mergeCell ref="C2:E2"/>
    <mergeCell ref="F2:H2"/>
    <mergeCell ref="I2:K2"/>
  </mergeCells>
  <pageMargins left="0.70866141732283472" right="0.70866141732283472" top="0.74803149606299213" bottom="0.74803149606299213" header="0.31496062992125984" footer="0.31496062992125984"/>
  <pageSetup paperSize="9" orientation="landscape" r:id="rId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view="pageBreakPreview" topLeftCell="B1" zoomScaleNormal="100" zoomScaleSheetLayoutView="100" workbookViewId="0">
      <selection activeCell="A6" sqref="A6:H8"/>
    </sheetView>
  </sheetViews>
  <sheetFormatPr defaultRowHeight="12.75" x14ac:dyDescent="0.2"/>
  <cols>
    <col min="1" max="1" width="32" customWidth="1"/>
    <col min="3" max="14" width="11.140625" style="387" customWidth="1"/>
  </cols>
  <sheetData>
    <row r="1" spans="1:15" ht="22.5" customHeight="1" x14ac:dyDescent="0.2">
      <c r="A1" s="686" t="s">
        <v>631</v>
      </c>
      <c r="B1" s="687"/>
      <c r="C1" s="687"/>
      <c r="D1" s="687"/>
      <c r="E1" s="687"/>
      <c r="F1" s="687"/>
      <c r="G1" s="687"/>
      <c r="H1" s="687"/>
      <c r="I1" s="687"/>
      <c r="J1" s="687"/>
      <c r="K1" s="687"/>
      <c r="L1" s="687"/>
      <c r="M1" s="687"/>
      <c r="N1" s="687"/>
      <c r="O1" s="372"/>
    </row>
    <row r="2" spans="1:15" ht="32.25" customHeight="1" x14ac:dyDescent="0.2">
      <c r="A2" s="679" t="s">
        <v>1</v>
      </c>
      <c r="B2" s="373" t="s">
        <v>632</v>
      </c>
      <c r="C2" s="679" t="s">
        <v>125</v>
      </c>
      <c r="D2" s="679"/>
      <c r="E2" s="679"/>
      <c r="F2" s="679" t="s">
        <v>126</v>
      </c>
      <c r="G2" s="679"/>
      <c r="H2" s="679"/>
      <c r="I2" s="679" t="s">
        <v>127</v>
      </c>
      <c r="J2" s="679"/>
      <c r="K2" s="679"/>
      <c r="L2" s="700" t="s">
        <v>21</v>
      </c>
      <c r="M2" s="700"/>
      <c r="N2" s="700"/>
    </row>
    <row r="3" spans="1:15" x14ac:dyDescent="0.2">
      <c r="A3" s="679"/>
      <c r="B3" s="373" t="s">
        <v>633</v>
      </c>
      <c r="C3" s="369" t="s">
        <v>477</v>
      </c>
      <c r="D3" s="369" t="s">
        <v>552</v>
      </c>
      <c r="E3" s="369" t="s">
        <v>579</v>
      </c>
      <c r="F3" s="369" t="s">
        <v>477</v>
      </c>
      <c r="G3" s="369" t="s">
        <v>552</v>
      </c>
      <c r="H3" s="369" t="s">
        <v>579</v>
      </c>
      <c r="I3" s="369" t="s">
        <v>477</v>
      </c>
      <c r="J3" s="369" t="s">
        <v>552</v>
      </c>
      <c r="K3" s="369" t="s">
        <v>579</v>
      </c>
      <c r="L3" s="369" t="s">
        <v>477</v>
      </c>
      <c r="M3" s="369" t="s">
        <v>552</v>
      </c>
      <c r="N3" s="369" t="s">
        <v>579</v>
      </c>
    </row>
    <row r="4" spans="1:15" ht="38.25" x14ac:dyDescent="0.2">
      <c r="A4" s="679"/>
      <c r="B4" s="374"/>
      <c r="C4" s="373" t="s">
        <v>3</v>
      </c>
      <c r="D4" s="373" t="s">
        <v>4</v>
      </c>
      <c r="E4" s="373" t="s">
        <v>5</v>
      </c>
      <c r="F4" s="373" t="s">
        <v>3</v>
      </c>
      <c r="G4" s="373" t="s">
        <v>4</v>
      </c>
      <c r="H4" s="373" t="s">
        <v>5</v>
      </c>
      <c r="I4" s="373" t="s">
        <v>3</v>
      </c>
      <c r="J4" s="373" t="s">
        <v>4</v>
      </c>
      <c r="K4" s="373" t="s">
        <v>5</v>
      </c>
      <c r="L4" s="375" t="s">
        <v>3</v>
      </c>
      <c r="M4" s="375" t="s">
        <v>4</v>
      </c>
      <c r="N4" s="375" t="s">
        <v>5</v>
      </c>
    </row>
    <row r="5" spans="1:15" x14ac:dyDescent="0.2">
      <c r="A5" s="376">
        <v>1</v>
      </c>
      <c r="B5" s="376">
        <v>2</v>
      </c>
      <c r="C5" s="376">
        <v>3</v>
      </c>
      <c r="D5" s="376">
        <v>4</v>
      </c>
      <c r="E5" s="376">
        <v>5</v>
      </c>
      <c r="F5" s="376">
        <v>6</v>
      </c>
      <c r="G5" s="376">
        <v>7</v>
      </c>
      <c r="H5" s="376">
        <v>8</v>
      </c>
      <c r="I5" s="376">
        <v>9</v>
      </c>
      <c r="J5" s="376">
        <v>10</v>
      </c>
      <c r="K5" s="376">
        <v>11</v>
      </c>
      <c r="L5" s="376">
        <v>12</v>
      </c>
      <c r="M5" s="376">
        <v>13</v>
      </c>
      <c r="N5" s="376">
        <v>14</v>
      </c>
    </row>
    <row r="6" spans="1:15" ht="30.75" customHeight="1" x14ac:dyDescent="0.25">
      <c r="A6" s="377" t="s">
        <v>634</v>
      </c>
      <c r="B6" s="378" t="s">
        <v>335</v>
      </c>
      <c r="C6" s="379">
        <f>L6/I6/F6</f>
        <v>0</v>
      </c>
      <c r="D6" s="379">
        <f t="shared" ref="D6" si="0">M6/J6/G6</f>
        <v>0</v>
      </c>
      <c r="E6" s="379">
        <f>N6/K6/H6</f>
        <v>0</v>
      </c>
      <c r="F6" s="380">
        <v>12</v>
      </c>
      <c r="G6" s="380">
        <f>F6</f>
        <v>12</v>
      </c>
      <c r="H6" s="380">
        <f>G6</f>
        <v>12</v>
      </c>
      <c r="I6" s="381">
        <v>65</v>
      </c>
      <c r="J6" s="381">
        <f>I6</f>
        <v>65</v>
      </c>
      <c r="K6" s="381">
        <f>J6</f>
        <v>65</v>
      </c>
      <c r="L6" s="382">
        <v>0</v>
      </c>
      <c r="M6" s="382">
        <v>0</v>
      </c>
      <c r="N6" s="382">
        <v>0</v>
      </c>
    </row>
    <row r="7" spans="1:15" ht="18" customHeight="1" x14ac:dyDescent="0.25">
      <c r="A7" s="378"/>
      <c r="B7" s="378"/>
      <c r="C7" s="380"/>
      <c r="D7" s="380"/>
      <c r="E7" s="380"/>
      <c r="F7" s="380"/>
      <c r="G7" s="380"/>
      <c r="H7" s="380"/>
      <c r="I7" s="381"/>
      <c r="J7" s="381"/>
      <c r="K7" s="381"/>
      <c r="L7" s="382"/>
      <c r="M7" s="382"/>
      <c r="N7" s="382"/>
    </row>
    <row r="8" spans="1:15" ht="15.75" x14ac:dyDescent="0.25">
      <c r="A8" s="383" t="s">
        <v>13</v>
      </c>
      <c r="B8" s="384">
        <v>9000</v>
      </c>
      <c r="C8" s="385" t="s">
        <v>14</v>
      </c>
      <c r="D8" s="385" t="s">
        <v>14</v>
      </c>
      <c r="E8" s="385" t="s">
        <v>14</v>
      </c>
      <c r="F8" s="385"/>
      <c r="G8" s="385"/>
      <c r="H8" s="385"/>
      <c r="I8" s="386" t="s">
        <v>14</v>
      </c>
      <c r="J8" s="386" t="s">
        <v>14</v>
      </c>
      <c r="K8" s="386" t="s">
        <v>14</v>
      </c>
      <c r="L8" s="386">
        <f>SUM(L6:L6)</f>
        <v>0</v>
      </c>
      <c r="M8" s="386">
        <f>SUM(M6:M6)</f>
        <v>0</v>
      </c>
      <c r="N8" s="386">
        <f>SUM(N6:N6)</f>
        <v>0</v>
      </c>
    </row>
  </sheetData>
  <mergeCells count="6">
    <mergeCell ref="A1:N1"/>
    <mergeCell ref="A2:A4"/>
    <mergeCell ref="C2:E2"/>
    <mergeCell ref="F2:H2"/>
    <mergeCell ref="I2:K2"/>
    <mergeCell ref="L2:N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2"/>
  <sheetViews>
    <sheetView view="pageBreakPreview" zoomScale="70" zoomScaleSheetLayoutView="70" workbookViewId="0">
      <selection activeCell="P58" sqref="P58:R58"/>
    </sheetView>
  </sheetViews>
  <sheetFormatPr defaultColWidth="0.85546875" defaultRowHeight="12.75" x14ac:dyDescent="0.2"/>
  <cols>
    <col min="1" max="1" width="7.28515625" style="104" customWidth="1"/>
    <col min="2" max="2" width="5.7109375" style="104" customWidth="1"/>
    <col min="3" max="3" width="8.7109375" style="104" customWidth="1"/>
    <col min="4" max="4" width="11" style="104" customWidth="1"/>
    <col min="5" max="5" width="8.42578125" style="104" customWidth="1"/>
    <col min="6" max="9" width="5.7109375" style="104" customWidth="1"/>
    <col min="10" max="10" width="9.140625" style="104" customWidth="1"/>
    <col min="11" max="14" width="5.7109375" style="104" customWidth="1"/>
    <col min="15" max="15" width="19.7109375" style="104" customWidth="1"/>
    <col min="16" max="16" width="20.5703125" style="104" customWidth="1"/>
    <col min="17" max="18" width="5.7109375" style="104" customWidth="1"/>
    <col min="19" max="19" width="12.42578125" style="104" customWidth="1"/>
    <col min="20" max="20" width="5.7109375" style="104" customWidth="1"/>
    <col min="21" max="21" width="10.140625" style="104" customWidth="1"/>
    <col min="22" max="22" width="13" style="104" customWidth="1"/>
    <col min="23" max="26" width="5.7109375" style="104" customWidth="1"/>
    <col min="27" max="27" width="9.140625" style="104" customWidth="1"/>
    <col min="28" max="28" width="17.28515625" style="104" customWidth="1"/>
    <col min="29" max="29" width="15.42578125" style="104" customWidth="1"/>
    <col min="30" max="33" width="5.7109375" style="104" customWidth="1"/>
    <col min="34" max="34" width="9.5703125" style="104" customWidth="1"/>
    <col min="35" max="46" width="5.7109375" style="104" customWidth="1"/>
    <col min="47" max="16384" width="0.85546875" style="104"/>
  </cols>
  <sheetData>
    <row r="1" spans="1:31" ht="40.9" customHeight="1" x14ac:dyDescent="0.3">
      <c r="A1" s="583" t="s">
        <v>499</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row>
    <row r="2" spans="1:31" ht="26.25" customHeight="1" x14ac:dyDescent="0.2">
      <c r="P2" s="21"/>
      <c r="T2" s="21"/>
      <c r="W2" s="21"/>
    </row>
    <row r="3" spans="1:31" ht="15" customHeight="1" x14ac:dyDescent="0.2">
      <c r="A3" s="582" t="s">
        <v>329</v>
      </c>
      <c r="B3" s="582"/>
      <c r="C3" s="582" t="s">
        <v>36</v>
      </c>
      <c r="D3" s="582"/>
      <c r="E3" s="582"/>
      <c r="F3" s="582"/>
      <c r="G3" s="582"/>
      <c r="H3" s="582"/>
      <c r="I3" s="582"/>
      <c r="J3" s="582"/>
      <c r="K3" s="582" t="s">
        <v>330</v>
      </c>
      <c r="L3" s="582"/>
      <c r="M3" s="582" t="s">
        <v>399</v>
      </c>
      <c r="N3" s="582"/>
      <c r="O3" s="584" t="s">
        <v>500</v>
      </c>
      <c r="P3" s="582" t="s">
        <v>331</v>
      </c>
      <c r="Q3" s="582"/>
      <c r="R3" s="582"/>
      <c r="S3" s="582"/>
      <c r="T3" s="582"/>
      <c r="U3" s="582"/>
      <c r="V3" s="582"/>
      <c r="W3" s="582"/>
      <c r="X3" s="582"/>
      <c r="Y3" s="582"/>
      <c r="Z3" s="582"/>
      <c r="AA3" s="582"/>
    </row>
    <row r="4" spans="1:31" ht="15" customHeight="1" x14ac:dyDescent="0.2">
      <c r="A4" s="582"/>
      <c r="B4" s="582"/>
      <c r="C4" s="582"/>
      <c r="D4" s="582"/>
      <c r="E4" s="582"/>
      <c r="F4" s="582"/>
      <c r="G4" s="582"/>
      <c r="H4" s="582"/>
      <c r="I4" s="582"/>
      <c r="J4" s="582"/>
      <c r="K4" s="582"/>
      <c r="L4" s="582"/>
      <c r="M4" s="582"/>
      <c r="N4" s="582"/>
      <c r="O4" s="585"/>
      <c r="P4" s="587" t="s">
        <v>94</v>
      </c>
      <c r="Q4" s="588"/>
      <c r="R4" s="589"/>
      <c r="S4" s="587" t="s">
        <v>477</v>
      </c>
      <c r="T4" s="588"/>
      <c r="U4" s="589"/>
      <c r="V4" s="582" t="s">
        <v>552</v>
      </c>
      <c r="W4" s="582"/>
      <c r="X4" s="582"/>
      <c r="Y4" s="582" t="s">
        <v>332</v>
      </c>
      <c r="Z4" s="582"/>
      <c r="AA4" s="582"/>
    </row>
    <row r="5" spans="1:31" ht="27.75" customHeight="1" x14ac:dyDescent="0.2">
      <c r="A5" s="582"/>
      <c r="B5" s="582"/>
      <c r="C5" s="582"/>
      <c r="D5" s="582"/>
      <c r="E5" s="582"/>
      <c r="F5" s="582"/>
      <c r="G5" s="582"/>
      <c r="H5" s="582"/>
      <c r="I5" s="582"/>
      <c r="J5" s="582"/>
      <c r="K5" s="582"/>
      <c r="L5" s="582"/>
      <c r="M5" s="582"/>
      <c r="N5" s="582"/>
      <c r="O5" s="586"/>
      <c r="P5" s="582" t="s">
        <v>122</v>
      </c>
      <c r="Q5" s="582"/>
      <c r="R5" s="582"/>
      <c r="S5" s="582" t="s">
        <v>333</v>
      </c>
      <c r="T5" s="582"/>
      <c r="U5" s="582"/>
      <c r="V5" s="582" t="s">
        <v>334</v>
      </c>
      <c r="W5" s="582"/>
      <c r="X5" s="582"/>
      <c r="Y5" s="582"/>
      <c r="Z5" s="582"/>
      <c r="AA5" s="582"/>
    </row>
    <row r="6" spans="1:31" ht="15" customHeight="1" x14ac:dyDescent="0.2">
      <c r="A6" s="482" t="s">
        <v>335</v>
      </c>
      <c r="B6" s="482"/>
      <c r="C6" s="482" t="s">
        <v>336</v>
      </c>
      <c r="D6" s="482"/>
      <c r="E6" s="482"/>
      <c r="F6" s="482"/>
      <c r="G6" s="482"/>
      <c r="H6" s="482"/>
      <c r="I6" s="482"/>
      <c r="J6" s="482"/>
      <c r="K6" s="482" t="s">
        <v>40</v>
      </c>
      <c r="L6" s="482"/>
      <c r="M6" s="482" t="s">
        <v>41</v>
      </c>
      <c r="N6" s="482"/>
      <c r="O6" s="107" t="s">
        <v>501</v>
      </c>
      <c r="P6" s="482" t="s">
        <v>42</v>
      </c>
      <c r="Q6" s="482"/>
      <c r="R6" s="482"/>
      <c r="S6" s="482" t="s">
        <v>337</v>
      </c>
      <c r="T6" s="482"/>
      <c r="U6" s="482"/>
      <c r="V6" s="482" t="s">
        <v>338</v>
      </c>
      <c r="W6" s="482"/>
      <c r="X6" s="482"/>
      <c r="Y6" s="482" t="s">
        <v>339</v>
      </c>
      <c r="Z6" s="482"/>
      <c r="AA6" s="482"/>
    </row>
    <row r="7" spans="1:31" ht="19.5" customHeight="1" x14ac:dyDescent="0.3">
      <c r="A7" s="149">
        <v>1</v>
      </c>
      <c r="B7" s="126"/>
      <c r="C7" s="578" t="s">
        <v>340</v>
      </c>
      <c r="D7" s="578"/>
      <c r="E7" s="578"/>
      <c r="F7" s="578"/>
      <c r="G7" s="578"/>
      <c r="H7" s="578"/>
      <c r="I7" s="578"/>
      <c r="J7" s="578"/>
      <c r="K7" s="579" t="s">
        <v>341</v>
      </c>
      <c r="L7" s="579"/>
      <c r="M7" s="438" t="s">
        <v>14</v>
      </c>
      <c r="N7" s="438"/>
      <c r="O7" s="151"/>
      <c r="P7" s="521">
        <f>'раздел 1_2'!H80+'раздел 1_2'!I80</f>
        <v>9724792.2800000012</v>
      </c>
      <c r="Q7" s="521"/>
      <c r="R7" s="521"/>
      <c r="S7" s="521">
        <f>'раздел 1_2'!J80+'раздел 1_2'!K80</f>
        <v>8283151.3499999996</v>
      </c>
      <c r="T7" s="521"/>
      <c r="U7" s="521"/>
      <c r="V7" s="521">
        <f>'раздел 1_2'!L80+'раздел 1_2'!M80</f>
        <v>8283499.04</v>
      </c>
      <c r="W7" s="521"/>
      <c r="X7" s="521"/>
      <c r="Y7" s="442"/>
      <c r="Z7" s="442"/>
      <c r="AA7" s="442"/>
      <c r="AC7" s="21"/>
    </row>
    <row r="8" spans="1:31" ht="124.5" customHeight="1" x14ac:dyDescent="0.3">
      <c r="A8" s="149" t="s">
        <v>342</v>
      </c>
      <c r="B8" s="126"/>
      <c r="C8" s="578" t="s">
        <v>343</v>
      </c>
      <c r="D8" s="578"/>
      <c r="E8" s="578"/>
      <c r="F8" s="578"/>
      <c r="G8" s="578"/>
      <c r="H8" s="578"/>
      <c r="I8" s="578"/>
      <c r="J8" s="578"/>
      <c r="K8" s="579" t="s">
        <v>344</v>
      </c>
      <c r="L8" s="579"/>
      <c r="M8" s="438" t="s">
        <v>14</v>
      </c>
      <c r="N8" s="438"/>
      <c r="O8" s="151"/>
      <c r="P8" s="521">
        <f>P9+P10</f>
        <v>0</v>
      </c>
      <c r="Q8" s="521"/>
      <c r="R8" s="521"/>
      <c r="S8" s="521">
        <f t="shared" ref="S8" si="0">S9+S10</f>
        <v>0</v>
      </c>
      <c r="T8" s="521"/>
      <c r="U8" s="521"/>
      <c r="V8" s="521">
        <f t="shared" ref="V8" si="1">V9+V10</f>
        <v>0</v>
      </c>
      <c r="W8" s="521"/>
      <c r="X8" s="521"/>
      <c r="Y8" s="442"/>
      <c r="Z8" s="442"/>
      <c r="AA8" s="442"/>
      <c r="AC8" s="21"/>
    </row>
    <row r="9" spans="1:31" ht="30" customHeight="1" x14ac:dyDescent="0.3">
      <c r="A9" s="149" t="s">
        <v>345</v>
      </c>
      <c r="B9" s="126"/>
      <c r="C9" s="578" t="s">
        <v>346</v>
      </c>
      <c r="D9" s="578"/>
      <c r="E9" s="578"/>
      <c r="F9" s="578"/>
      <c r="G9" s="578"/>
      <c r="H9" s="578"/>
      <c r="I9" s="578"/>
      <c r="J9" s="578"/>
      <c r="K9" s="579" t="s">
        <v>347</v>
      </c>
      <c r="L9" s="579"/>
      <c r="M9" s="438" t="s">
        <v>14</v>
      </c>
      <c r="N9" s="438"/>
      <c r="O9" s="151"/>
      <c r="P9" s="521"/>
      <c r="Q9" s="521"/>
      <c r="R9" s="521"/>
      <c r="S9" s="521"/>
      <c r="T9" s="521"/>
      <c r="U9" s="521"/>
      <c r="V9" s="521"/>
      <c r="W9" s="521"/>
      <c r="X9" s="521"/>
      <c r="Y9" s="442"/>
      <c r="Z9" s="442"/>
      <c r="AA9" s="442"/>
      <c r="AC9" s="21"/>
    </row>
    <row r="10" spans="1:31" ht="30" customHeight="1" x14ac:dyDescent="0.3">
      <c r="A10" s="149" t="s">
        <v>348</v>
      </c>
      <c r="B10" s="126"/>
      <c r="C10" s="578" t="s">
        <v>349</v>
      </c>
      <c r="D10" s="578"/>
      <c r="E10" s="578"/>
      <c r="F10" s="578"/>
      <c r="G10" s="578"/>
      <c r="H10" s="578"/>
      <c r="I10" s="578"/>
      <c r="J10" s="578"/>
      <c r="K10" s="579" t="s">
        <v>350</v>
      </c>
      <c r="L10" s="579"/>
      <c r="M10" s="438" t="s">
        <v>14</v>
      </c>
      <c r="N10" s="438"/>
      <c r="O10" s="151"/>
      <c r="P10" s="521">
        <f>P11+P13</f>
        <v>0</v>
      </c>
      <c r="Q10" s="521"/>
      <c r="R10" s="521"/>
      <c r="S10" s="521"/>
      <c r="T10" s="521"/>
      <c r="U10" s="521"/>
      <c r="V10" s="521"/>
      <c r="W10" s="521"/>
      <c r="X10" s="521"/>
      <c r="Y10" s="442"/>
      <c r="Z10" s="442"/>
      <c r="AA10" s="442"/>
    </row>
    <row r="11" spans="1:31" ht="15" customHeight="1" x14ac:dyDescent="0.3">
      <c r="A11" s="150" t="s">
        <v>502</v>
      </c>
      <c r="B11" s="139"/>
      <c r="C11" s="573" t="s">
        <v>503</v>
      </c>
      <c r="D11" s="573"/>
      <c r="E11" s="573"/>
      <c r="F11" s="573"/>
      <c r="G11" s="573"/>
      <c r="H11" s="573"/>
      <c r="I11" s="573"/>
      <c r="J11" s="573"/>
      <c r="K11" s="566" t="s">
        <v>504</v>
      </c>
      <c r="L11" s="566"/>
      <c r="M11" s="574" t="s">
        <v>14</v>
      </c>
      <c r="N11" s="574"/>
      <c r="O11" s="152"/>
      <c r="P11" s="590"/>
      <c r="Q11" s="591"/>
      <c r="R11" s="592"/>
      <c r="S11" s="581"/>
      <c r="T11" s="581"/>
      <c r="U11" s="581"/>
      <c r="V11" s="581"/>
      <c r="W11" s="581"/>
      <c r="X11" s="581"/>
      <c r="Y11" s="593"/>
      <c r="Z11" s="593"/>
      <c r="AA11" s="593"/>
    </row>
    <row r="12" spans="1:31" ht="15" customHeight="1" x14ac:dyDescent="0.3">
      <c r="A12" s="150"/>
      <c r="B12" s="139"/>
      <c r="C12" s="573" t="s">
        <v>505</v>
      </c>
      <c r="D12" s="573"/>
      <c r="E12" s="573"/>
      <c r="F12" s="573"/>
      <c r="G12" s="573"/>
      <c r="H12" s="573"/>
      <c r="I12" s="573"/>
      <c r="J12" s="573"/>
      <c r="K12" s="566" t="s">
        <v>506</v>
      </c>
      <c r="L12" s="566"/>
      <c r="M12" s="574"/>
      <c r="N12" s="574"/>
      <c r="O12" s="148"/>
      <c r="P12" s="581"/>
      <c r="Q12" s="581"/>
      <c r="R12" s="581"/>
      <c r="S12" s="581"/>
      <c r="T12" s="581"/>
      <c r="U12" s="581"/>
      <c r="V12" s="581"/>
      <c r="W12" s="581"/>
      <c r="X12" s="581"/>
      <c r="Y12" s="593"/>
      <c r="Z12" s="593"/>
      <c r="AA12" s="593"/>
    </row>
    <row r="13" spans="1:31" ht="15" customHeight="1" x14ac:dyDescent="0.3">
      <c r="A13" s="149" t="s">
        <v>507</v>
      </c>
      <c r="B13" s="126"/>
      <c r="C13" s="578" t="s">
        <v>508</v>
      </c>
      <c r="D13" s="578"/>
      <c r="E13" s="578"/>
      <c r="F13" s="578"/>
      <c r="G13" s="578"/>
      <c r="H13" s="578"/>
      <c r="I13" s="578"/>
      <c r="J13" s="578"/>
      <c r="K13" s="579" t="s">
        <v>509</v>
      </c>
      <c r="L13" s="579"/>
      <c r="M13" s="438" t="s">
        <v>14</v>
      </c>
      <c r="N13" s="438"/>
      <c r="O13" s="151"/>
      <c r="P13" s="521"/>
      <c r="Q13" s="521"/>
      <c r="R13" s="521"/>
      <c r="S13" s="521"/>
      <c r="T13" s="521"/>
      <c r="U13" s="521"/>
      <c r="V13" s="521"/>
      <c r="W13" s="521"/>
      <c r="X13" s="521"/>
      <c r="Y13" s="442"/>
      <c r="Z13" s="442"/>
      <c r="AA13" s="442"/>
      <c r="AB13" s="136"/>
      <c r="AC13" s="175"/>
    </row>
    <row r="14" spans="1:31" ht="15" customHeight="1" x14ac:dyDescent="0.3">
      <c r="A14" s="149"/>
      <c r="B14" s="126"/>
      <c r="C14" s="578" t="s">
        <v>505</v>
      </c>
      <c r="D14" s="578"/>
      <c r="E14" s="578"/>
      <c r="F14" s="578"/>
      <c r="G14" s="578"/>
      <c r="H14" s="578"/>
      <c r="I14" s="578"/>
      <c r="J14" s="578"/>
      <c r="K14" s="579" t="s">
        <v>510</v>
      </c>
      <c r="L14" s="579"/>
      <c r="M14" s="438"/>
      <c r="N14" s="438"/>
      <c r="O14" s="151"/>
      <c r="P14" s="521"/>
      <c r="Q14" s="521"/>
      <c r="R14" s="521"/>
      <c r="S14" s="521"/>
      <c r="T14" s="521"/>
      <c r="U14" s="521"/>
      <c r="V14" s="521"/>
      <c r="W14" s="521"/>
      <c r="X14" s="521"/>
      <c r="Y14" s="442"/>
      <c r="Z14" s="442"/>
      <c r="AA14" s="442"/>
      <c r="AB14" s="183">
        <f>AB16+AB19+AB58</f>
        <v>91315267.63000001</v>
      </c>
      <c r="AC14" s="175"/>
    </row>
    <row r="15" spans="1:31" ht="45" customHeight="1" x14ac:dyDescent="0.3">
      <c r="A15" s="149" t="s">
        <v>351</v>
      </c>
      <c r="B15" s="126"/>
      <c r="C15" s="578" t="s">
        <v>352</v>
      </c>
      <c r="D15" s="578"/>
      <c r="E15" s="578"/>
      <c r="F15" s="578"/>
      <c r="G15" s="578"/>
      <c r="H15" s="578"/>
      <c r="I15" s="578"/>
      <c r="J15" s="578"/>
      <c r="K15" s="579" t="s">
        <v>353</v>
      </c>
      <c r="L15" s="579"/>
      <c r="M15" s="438" t="s">
        <v>14</v>
      </c>
      <c r="N15" s="438"/>
      <c r="O15" s="153"/>
      <c r="P15" s="575">
        <f>'раздел 1_2'!H80+'раздел 1_2'!I80-P10</f>
        <v>9724792.2800000012</v>
      </c>
      <c r="Q15" s="576"/>
      <c r="R15" s="577"/>
      <c r="S15" s="575">
        <f>'раздел 1_2'!J80+'раздел 1_2'!K80-S10</f>
        <v>8283151.3499999996</v>
      </c>
      <c r="T15" s="576"/>
      <c r="U15" s="577"/>
      <c r="V15" s="575">
        <f>'раздел 1_2'!L80+'раздел 1_2'!M80-V10</f>
        <v>8283499.04</v>
      </c>
      <c r="W15" s="576"/>
      <c r="X15" s="577"/>
      <c r="Y15" s="442"/>
      <c r="Z15" s="442"/>
      <c r="AA15" s="442"/>
      <c r="AB15" s="177">
        <f>P15</f>
        <v>9724792.2800000012</v>
      </c>
      <c r="AC15" s="178"/>
      <c r="AD15" s="161"/>
      <c r="AE15" s="161"/>
    </row>
    <row r="16" spans="1:31" ht="45" customHeight="1" x14ac:dyDescent="0.3">
      <c r="A16" s="149" t="s">
        <v>354</v>
      </c>
      <c r="B16" s="126"/>
      <c r="C16" s="578" t="s">
        <v>511</v>
      </c>
      <c r="D16" s="578"/>
      <c r="E16" s="578"/>
      <c r="F16" s="580"/>
      <c r="G16" s="578"/>
      <c r="H16" s="578"/>
      <c r="I16" s="578"/>
      <c r="J16" s="578"/>
      <c r="K16" s="579" t="s">
        <v>355</v>
      </c>
      <c r="L16" s="579"/>
      <c r="M16" s="438" t="s">
        <v>14</v>
      </c>
      <c r="N16" s="438"/>
      <c r="O16" s="151"/>
      <c r="P16" s="521">
        <f>P17+P18</f>
        <v>8278094.2600000007</v>
      </c>
      <c r="Q16" s="521"/>
      <c r="R16" s="521"/>
      <c r="S16" s="521">
        <f t="shared" ref="S16" si="2">S17+S18</f>
        <v>6969816.0899999999</v>
      </c>
      <c r="T16" s="521"/>
      <c r="U16" s="521"/>
      <c r="V16" s="521">
        <f t="shared" ref="V16" si="3">V17+V18</f>
        <v>6970163.7800000003</v>
      </c>
      <c r="W16" s="521"/>
      <c r="X16" s="521"/>
      <c r="Y16" s="442"/>
      <c r="Z16" s="442"/>
      <c r="AA16" s="442"/>
      <c r="AB16" s="177">
        <v>61858925.5</v>
      </c>
      <c r="AC16" s="179">
        <f>AB16-P18</f>
        <v>53580831.240000002</v>
      </c>
      <c r="AD16" s="161"/>
      <c r="AE16" s="161"/>
    </row>
    <row r="17" spans="1:31" ht="15" customHeight="1" x14ac:dyDescent="0.3">
      <c r="A17" s="150" t="s">
        <v>356</v>
      </c>
      <c r="B17" s="139"/>
      <c r="C17" s="573" t="s">
        <v>560</v>
      </c>
      <c r="D17" s="573"/>
      <c r="E17" s="573"/>
      <c r="F17" s="573"/>
      <c r="G17" s="573"/>
      <c r="H17" s="573"/>
      <c r="I17" s="573"/>
      <c r="J17" s="573"/>
      <c r="K17" s="566" t="s">
        <v>358</v>
      </c>
      <c r="L17" s="566"/>
      <c r="M17" s="574" t="s">
        <v>14</v>
      </c>
      <c r="N17" s="574"/>
      <c r="O17" s="148"/>
      <c r="P17" s="581"/>
      <c r="Q17" s="581"/>
      <c r="R17" s="581"/>
      <c r="S17" s="567"/>
      <c r="T17" s="568"/>
      <c r="U17" s="569"/>
      <c r="V17" s="567"/>
      <c r="W17" s="568"/>
      <c r="X17" s="569"/>
      <c r="Y17" s="593"/>
      <c r="Z17" s="593"/>
      <c r="AA17" s="593"/>
      <c r="AB17" s="180"/>
      <c r="AC17" s="161"/>
      <c r="AD17" s="161"/>
      <c r="AE17" s="161"/>
    </row>
    <row r="18" spans="1:31" ht="15" customHeight="1" x14ac:dyDescent="0.3">
      <c r="A18" s="149" t="s">
        <v>359</v>
      </c>
      <c r="B18" s="126"/>
      <c r="C18" s="578" t="s">
        <v>360</v>
      </c>
      <c r="D18" s="578"/>
      <c r="E18" s="578"/>
      <c r="F18" s="578"/>
      <c r="G18" s="578"/>
      <c r="H18" s="578"/>
      <c r="I18" s="578"/>
      <c r="J18" s="578"/>
      <c r="K18" s="579" t="s">
        <v>361</v>
      </c>
      <c r="L18" s="579"/>
      <c r="M18" s="438" t="s">
        <v>14</v>
      </c>
      <c r="N18" s="438"/>
      <c r="O18" s="151"/>
      <c r="P18" s="521">
        <f>'раздел 1_2'!H80-P13-P19</f>
        <v>8278094.2600000007</v>
      </c>
      <c r="Q18" s="521"/>
      <c r="R18" s="521"/>
      <c r="S18" s="575">
        <f>'раздел 1_2'!J80-S19</f>
        <v>6969816.0899999999</v>
      </c>
      <c r="T18" s="576"/>
      <c r="U18" s="577"/>
      <c r="V18" s="575">
        <f>'раздел 1_2'!L80-V19</f>
        <v>6970163.7800000003</v>
      </c>
      <c r="W18" s="576"/>
      <c r="X18" s="577"/>
      <c r="Y18" s="442"/>
      <c r="Z18" s="442"/>
      <c r="AA18" s="442"/>
      <c r="AB18" s="161"/>
      <c r="AC18" s="161"/>
      <c r="AD18" s="161"/>
      <c r="AE18" s="161"/>
    </row>
    <row r="19" spans="1:31" ht="30.75" customHeight="1" x14ac:dyDescent="0.3">
      <c r="A19" s="149" t="s">
        <v>362</v>
      </c>
      <c r="B19" s="126"/>
      <c r="C19" s="578" t="s">
        <v>363</v>
      </c>
      <c r="D19" s="578"/>
      <c r="E19" s="578"/>
      <c r="F19" s="578"/>
      <c r="G19" s="578"/>
      <c r="H19" s="578"/>
      <c r="I19" s="578"/>
      <c r="J19" s="578"/>
      <c r="K19" s="579" t="s">
        <v>364</v>
      </c>
      <c r="L19" s="579"/>
      <c r="M19" s="438" t="s">
        <v>14</v>
      </c>
      <c r="N19" s="438"/>
      <c r="O19" s="151"/>
      <c r="P19" s="521">
        <f>P20+P35</f>
        <v>1291028.54</v>
      </c>
      <c r="Q19" s="521"/>
      <c r="R19" s="521"/>
      <c r="S19" s="521">
        <f>S20+S35</f>
        <v>1291028.54</v>
      </c>
      <c r="T19" s="521"/>
      <c r="U19" s="521"/>
      <c r="V19" s="521">
        <f>V20+V35</f>
        <v>1291028.54</v>
      </c>
      <c r="W19" s="521"/>
      <c r="X19" s="521"/>
      <c r="Y19" s="442"/>
      <c r="Z19" s="442"/>
      <c r="AA19" s="442"/>
      <c r="AB19" s="177">
        <v>1232560.96</v>
      </c>
      <c r="AC19" s="179">
        <f>AB19-P19</f>
        <v>-58467.580000000075</v>
      </c>
      <c r="AD19" s="161"/>
      <c r="AE19" s="161"/>
    </row>
    <row r="20" spans="1:31" ht="15" customHeight="1" x14ac:dyDescent="0.3">
      <c r="A20" s="150" t="s">
        <v>365</v>
      </c>
      <c r="B20" s="139"/>
      <c r="C20" s="573" t="s">
        <v>357</v>
      </c>
      <c r="D20" s="573"/>
      <c r="E20" s="573"/>
      <c r="F20" s="573"/>
      <c r="G20" s="573"/>
      <c r="H20" s="573"/>
      <c r="I20" s="573"/>
      <c r="J20" s="573"/>
      <c r="K20" s="566" t="s">
        <v>366</v>
      </c>
      <c r="L20" s="566"/>
      <c r="M20" s="574" t="s">
        <v>14</v>
      </c>
      <c r="N20" s="574"/>
      <c r="O20" s="148" t="s">
        <v>14</v>
      </c>
      <c r="P20" s="581">
        <f>SUM(P21:P34)</f>
        <v>0</v>
      </c>
      <c r="Q20" s="581"/>
      <c r="R20" s="581"/>
      <c r="S20" s="581">
        <f>SUM(S21:S34)</f>
        <v>0</v>
      </c>
      <c r="T20" s="581"/>
      <c r="U20" s="581"/>
      <c r="V20" s="581">
        <f>SUM(V21:V34)</f>
        <v>0</v>
      </c>
      <c r="W20" s="581"/>
      <c r="X20" s="581"/>
      <c r="Y20" s="593"/>
      <c r="Z20" s="593"/>
      <c r="AA20" s="593"/>
      <c r="AB20" s="161"/>
      <c r="AC20" s="161"/>
      <c r="AD20" s="161"/>
      <c r="AE20" s="161"/>
    </row>
    <row r="21" spans="1:31" ht="15" customHeight="1" x14ac:dyDescent="0.3">
      <c r="A21" s="150"/>
      <c r="B21" s="139"/>
      <c r="C21" s="573" t="s">
        <v>505</v>
      </c>
      <c r="D21" s="573"/>
      <c r="E21" s="573"/>
      <c r="F21" s="573"/>
      <c r="G21" s="573"/>
      <c r="H21" s="573"/>
      <c r="I21" s="573"/>
      <c r="J21" s="573"/>
      <c r="K21" s="566" t="s">
        <v>512</v>
      </c>
      <c r="L21" s="566"/>
      <c r="M21" s="574"/>
      <c r="N21" s="574"/>
      <c r="O21" s="140" t="s">
        <v>513</v>
      </c>
      <c r="P21" s="567"/>
      <c r="Q21" s="568"/>
      <c r="R21" s="569"/>
      <c r="S21" s="567"/>
      <c r="T21" s="568"/>
      <c r="U21" s="569"/>
      <c r="V21" s="567"/>
      <c r="W21" s="568"/>
      <c r="X21" s="569"/>
      <c r="Y21" s="593"/>
      <c r="Z21" s="593"/>
      <c r="AA21" s="593"/>
      <c r="AB21" s="161"/>
      <c r="AC21" s="161"/>
      <c r="AD21" s="161"/>
      <c r="AE21" s="161"/>
    </row>
    <row r="22" spans="1:31" ht="15" customHeight="1" x14ac:dyDescent="0.3">
      <c r="A22" s="150"/>
      <c r="B22" s="139"/>
      <c r="C22" s="141"/>
      <c r="D22" s="142"/>
      <c r="E22" s="142"/>
      <c r="F22" s="142"/>
      <c r="G22" s="142"/>
      <c r="H22" s="142"/>
      <c r="I22" s="142"/>
      <c r="J22" s="143"/>
      <c r="K22" s="566" t="s">
        <v>514</v>
      </c>
      <c r="L22" s="566"/>
      <c r="M22" s="154"/>
      <c r="N22" s="155"/>
      <c r="O22" s="140" t="s">
        <v>515</v>
      </c>
      <c r="P22" s="567"/>
      <c r="Q22" s="568"/>
      <c r="R22" s="569"/>
      <c r="S22" s="567"/>
      <c r="T22" s="568"/>
      <c r="U22" s="569"/>
      <c r="V22" s="567"/>
      <c r="W22" s="568"/>
      <c r="X22" s="569"/>
      <c r="Y22" s="570"/>
      <c r="Z22" s="571"/>
      <c r="AA22" s="572"/>
      <c r="AB22" s="161"/>
      <c r="AC22" s="161"/>
      <c r="AD22" s="161"/>
      <c r="AE22" s="161"/>
    </row>
    <row r="23" spans="1:31" ht="15" customHeight="1" x14ac:dyDescent="0.3">
      <c r="A23" s="150"/>
      <c r="B23" s="139"/>
      <c r="C23" s="141"/>
      <c r="D23" s="142"/>
      <c r="E23" s="142"/>
      <c r="F23" s="142"/>
      <c r="G23" s="142"/>
      <c r="H23" s="142"/>
      <c r="I23" s="142"/>
      <c r="J23" s="143"/>
      <c r="K23" s="566" t="s">
        <v>516</v>
      </c>
      <c r="L23" s="566"/>
      <c r="M23" s="154"/>
      <c r="N23" s="155"/>
      <c r="O23" s="140" t="s">
        <v>517</v>
      </c>
      <c r="P23" s="567"/>
      <c r="Q23" s="568"/>
      <c r="R23" s="569"/>
      <c r="S23" s="567"/>
      <c r="T23" s="568"/>
      <c r="U23" s="569"/>
      <c r="V23" s="567"/>
      <c r="W23" s="568"/>
      <c r="X23" s="569"/>
      <c r="Y23" s="570"/>
      <c r="Z23" s="571"/>
      <c r="AA23" s="572"/>
      <c r="AB23" s="161"/>
      <c r="AC23" s="161"/>
      <c r="AD23" s="161"/>
      <c r="AE23" s="161"/>
    </row>
    <row r="24" spans="1:31" ht="15" customHeight="1" x14ac:dyDescent="0.3">
      <c r="A24" s="150"/>
      <c r="B24" s="139"/>
      <c r="C24" s="141"/>
      <c r="D24" s="142"/>
      <c r="E24" s="142"/>
      <c r="F24" s="142"/>
      <c r="G24" s="142"/>
      <c r="H24" s="142"/>
      <c r="I24" s="142"/>
      <c r="J24" s="143"/>
      <c r="K24" s="566" t="s">
        <v>518</v>
      </c>
      <c r="L24" s="566"/>
      <c r="M24" s="154"/>
      <c r="N24" s="155"/>
      <c r="O24" s="140" t="s">
        <v>519</v>
      </c>
      <c r="P24" s="567"/>
      <c r="Q24" s="568"/>
      <c r="R24" s="569"/>
      <c r="S24" s="567"/>
      <c r="T24" s="568"/>
      <c r="U24" s="569"/>
      <c r="V24" s="567"/>
      <c r="W24" s="568"/>
      <c r="X24" s="569"/>
      <c r="Y24" s="570"/>
      <c r="Z24" s="571"/>
      <c r="AA24" s="572"/>
      <c r="AB24" s="161"/>
      <c r="AC24" s="161"/>
      <c r="AD24" s="161"/>
      <c r="AE24" s="161"/>
    </row>
    <row r="25" spans="1:31" ht="15" customHeight="1" x14ac:dyDescent="0.3">
      <c r="A25" s="150"/>
      <c r="B25" s="139"/>
      <c r="C25" s="141"/>
      <c r="D25" s="142"/>
      <c r="E25" s="142"/>
      <c r="F25" s="142"/>
      <c r="G25" s="142"/>
      <c r="H25" s="142"/>
      <c r="I25" s="142"/>
      <c r="J25" s="143"/>
      <c r="K25" s="566" t="s">
        <v>520</v>
      </c>
      <c r="L25" s="566"/>
      <c r="M25" s="154"/>
      <c r="N25" s="155"/>
      <c r="O25" s="140" t="s">
        <v>521</v>
      </c>
      <c r="P25" s="567"/>
      <c r="Q25" s="568"/>
      <c r="R25" s="569"/>
      <c r="S25" s="567"/>
      <c r="T25" s="568"/>
      <c r="U25" s="569"/>
      <c r="V25" s="567"/>
      <c r="W25" s="568"/>
      <c r="X25" s="569"/>
      <c r="Y25" s="570"/>
      <c r="Z25" s="571"/>
      <c r="AA25" s="572"/>
      <c r="AB25" s="161"/>
      <c r="AC25" s="161"/>
      <c r="AD25" s="161"/>
      <c r="AE25" s="161"/>
    </row>
    <row r="26" spans="1:31" ht="15" customHeight="1" x14ac:dyDescent="0.3">
      <c r="A26" s="150"/>
      <c r="B26" s="139"/>
      <c r="C26" s="141"/>
      <c r="D26" s="142"/>
      <c r="E26" s="142"/>
      <c r="F26" s="142"/>
      <c r="G26" s="142"/>
      <c r="H26" s="142"/>
      <c r="I26" s="142"/>
      <c r="J26" s="143"/>
      <c r="K26" s="566" t="s">
        <v>522</v>
      </c>
      <c r="L26" s="566"/>
      <c r="M26" s="154"/>
      <c r="N26" s="155"/>
      <c r="O26" s="140" t="s">
        <v>523</v>
      </c>
      <c r="P26" s="567"/>
      <c r="Q26" s="568"/>
      <c r="R26" s="569"/>
      <c r="S26" s="567"/>
      <c r="T26" s="568"/>
      <c r="U26" s="569"/>
      <c r="V26" s="567"/>
      <c r="W26" s="568"/>
      <c r="X26" s="569"/>
      <c r="Y26" s="570"/>
      <c r="Z26" s="571"/>
      <c r="AA26" s="572"/>
      <c r="AB26" s="161"/>
      <c r="AC26" s="161"/>
      <c r="AD26" s="161"/>
      <c r="AE26" s="161"/>
    </row>
    <row r="27" spans="1:31" ht="15" customHeight="1" x14ac:dyDescent="0.3">
      <c r="A27" s="150"/>
      <c r="B27" s="139"/>
      <c r="C27" s="141"/>
      <c r="D27" s="142"/>
      <c r="E27" s="142"/>
      <c r="F27" s="142"/>
      <c r="G27" s="142"/>
      <c r="H27" s="142"/>
      <c r="I27" s="142"/>
      <c r="J27" s="143"/>
      <c r="K27" s="566" t="s">
        <v>524</v>
      </c>
      <c r="L27" s="566"/>
      <c r="M27" s="154"/>
      <c r="N27" s="155"/>
      <c r="O27" s="140" t="s">
        <v>525</v>
      </c>
      <c r="P27" s="567"/>
      <c r="Q27" s="568"/>
      <c r="R27" s="569"/>
      <c r="S27" s="567"/>
      <c r="T27" s="568"/>
      <c r="U27" s="569"/>
      <c r="V27" s="567"/>
      <c r="W27" s="568"/>
      <c r="X27" s="569"/>
      <c r="Y27" s="570"/>
      <c r="Z27" s="571"/>
      <c r="AA27" s="572"/>
      <c r="AB27" s="161"/>
      <c r="AC27" s="161"/>
      <c r="AD27" s="161"/>
      <c r="AE27" s="161"/>
    </row>
    <row r="28" spans="1:31" ht="15" customHeight="1" x14ac:dyDescent="0.3">
      <c r="A28" s="150"/>
      <c r="B28" s="139"/>
      <c r="C28" s="141"/>
      <c r="D28" s="142"/>
      <c r="E28" s="142"/>
      <c r="F28" s="142"/>
      <c r="G28" s="142"/>
      <c r="H28" s="142"/>
      <c r="I28" s="142"/>
      <c r="J28" s="143"/>
      <c r="K28" s="566" t="s">
        <v>526</v>
      </c>
      <c r="L28" s="566"/>
      <c r="M28" s="154"/>
      <c r="N28" s="155"/>
      <c r="O28" s="140" t="s">
        <v>527</v>
      </c>
      <c r="P28" s="567"/>
      <c r="Q28" s="568"/>
      <c r="R28" s="569"/>
      <c r="S28" s="567"/>
      <c r="T28" s="568"/>
      <c r="U28" s="569"/>
      <c r="V28" s="567"/>
      <c r="W28" s="568"/>
      <c r="X28" s="569"/>
      <c r="Y28" s="567"/>
      <c r="Z28" s="568"/>
      <c r="AA28" s="569"/>
      <c r="AB28" s="161"/>
      <c r="AC28" s="161"/>
      <c r="AD28" s="161"/>
      <c r="AE28" s="161"/>
    </row>
    <row r="29" spans="1:31" ht="15" customHeight="1" x14ac:dyDescent="0.3">
      <c r="A29" s="150"/>
      <c r="B29" s="139"/>
      <c r="C29" s="141"/>
      <c r="D29" s="142"/>
      <c r="E29" s="142"/>
      <c r="F29" s="142"/>
      <c r="G29" s="142"/>
      <c r="H29" s="142"/>
      <c r="I29" s="142"/>
      <c r="J29" s="143"/>
      <c r="K29" s="566" t="s">
        <v>528</v>
      </c>
      <c r="L29" s="566"/>
      <c r="M29" s="154"/>
      <c r="N29" s="155"/>
      <c r="O29" s="140" t="s">
        <v>529</v>
      </c>
      <c r="P29" s="567"/>
      <c r="Q29" s="568"/>
      <c r="R29" s="569"/>
      <c r="S29" s="567"/>
      <c r="T29" s="568"/>
      <c r="U29" s="569"/>
      <c r="V29" s="567"/>
      <c r="W29" s="568"/>
      <c r="X29" s="569"/>
      <c r="Y29" s="567"/>
      <c r="Z29" s="568"/>
      <c r="AA29" s="569"/>
      <c r="AB29" s="161"/>
      <c r="AC29" s="161"/>
      <c r="AD29" s="161"/>
      <c r="AE29" s="161"/>
    </row>
    <row r="30" spans="1:31" ht="15" customHeight="1" x14ac:dyDescent="0.3">
      <c r="A30" s="150"/>
      <c r="B30" s="139"/>
      <c r="C30" s="141"/>
      <c r="D30" s="142"/>
      <c r="E30" s="142"/>
      <c r="F30" s="142"/>
      <c r="G30" s="142"/>
      <c r="H30" s="142"/>
      <c r="I30" s="142"/>
      <c r="J30" s="143"/>
      <c r="K30" s="566" t="s">
        <v>530</v>
      </c>
      <c r="L30" s="566"/>
      <c r="M30" s="154"/>
      <c r="N30" s="155"/>
      <c r="O30" s="140" t="s">
        <v>531</v>
      </c>
      <c r="P30" s="567"/>
      <c r="Q30" s="568"/>
      <c r="R30" s="569"/>
      <c r="S30" s="567"/>
      <c r="T30" s="568"/>
      <c r="U30" s="569"/>
      <c r="V30" s="567"/>
      <c r="W30" s="568"/>
      <c r="X30" s="569"/>
      <c r="Y30" s="567"/>
      <c r="Z30" s="568"/>
      <c r="AA30" s="569"/>
      <c r="AB30" s="161"/>
      <c r="AC30" s="161"/>
      <c r="AD30" s="161"/>
      <c r="AE30" s="161"/>
    </row>
    <row r="31" spans="1:31" ht="15" customHeight="1" x14ac:dyDescent="0.3">
      <c r="A31" s="150"/>
      <c r="B31" s="139"/>
      <c r="C31" s="141"/>
      <c r="D31" s="142"/>
      <c r="E31" s="142"/>
      <c r="F31" s="142"/>
      <c r="G31" s="142"/>
      <c r="H31" s="142"/>
      <c r="I31" s="142"/>
      <c r="J31" s="143"/>
      <c r="K31" s="566" t="s">
        <v>532</v>
      </c>
      <c r="L31" s="566"/>
      <c r="M31" s="154"/>
      <c r="N31" s="155"/>
      <c r="O31" s="140" t="s">
        <v>533</v>
      </c>
      <c r="P31" s="567"/>
      <c r="Q31" s="568"/>
      <c r="R31" s="569"/>
      <c r="S31" s="567"/>
      <c r="T31" s="568"/>
      <c r="U31" s="569"/>
      <c r="V31" s="567"/>
      <c r="W31" s="568"/>
      <c r="X31" s="569"/>
      <c r="Y31" s="567"/>
      <c r="Z31" s="568"/>
      <c r="AA31" s="569"/>
      <c r="AB31" s="161"/>
      <c r="AC31" s="161"/>
      <c r="AD31" s="161"/>
      <c r="AE31" s="161"/>
    </row>
    <row r="32" spans="1:31" ht="15" customHeight="1" x14ac:dyDescent="0.3">
      <c r="A32" s="150"/>
      <c r="B32" s="139"/>
      <c r="C32" s="141"/>
      <c r="D32" s="142"/>
      <c r="E32" s="142"/>
      <c r="F32" s="142"/>
      <c r="G32" s="142"/>
      <c r="H32" s="142"/>
      <c r="I32" s="142"/>
      <c r="J32" s="143"/>
      <c r="K32" s="566" t="s">
        <v>534</v>
      </c>
      <c r="L32" s="566"/>
      <c r="M32" s="154"/>
      <c r="N32" s="155"/>
      <c r="O32" s="140" t="s">
        <v>535</v>
      </c>
      <c r="P32" s="567"/>
      <c r="Q32" s="568"/>
      <c r="R32" s="569"/>
      <c r="S32" s="567"/>
      <c r="T32" s="568"/>
      <c r="U32" s="569"/>
      <c r="V32" s="567"/>
      <c r="W32" s="568"/>
      <c r="X32" s="569"/>
      <c r="Y32" s="567"/>
      <c r="Z32" s="568"/>
      <c r="AA32" s="569"/>
      <c r="AB32" s="161"/>
      <c r="AC32" s="161"/>
      <c r="AD32" s="161"/>
      <c r="AE32" s="161"/>
    </row>
    <row r="33" spans="1:31" ht="15" customHeight="1" x14ac:dyDescent="0.3">
      <c r="A33" s="150"/>
      <c r="B33" s="139"/>
      <c r="C33" s="141"/>
      <c r="D33" s="142"/>
      <c r="E33" s="142"/>
      <c r="F33" s="142"/>
      <c r="G33" s="142"/>
      <c r="H33" s="142"/>
      <c r="I33" s="142"/>
      <c r="J33" s="143"/>
      <c r="K33" s="566" t="s">
        <v>536</v>
      </c>
      <c r="L33" s="566"/>
      <c r="M33" s="154"/>
      <c r="N33" s="155"/>
      <c r="O33" s="148" t="s">
        <v>537</v>
      </c>
      <c r="P33" s="567"/>
      <c r="Q33" s="568"/>
      <c r="R33" s="569"/>
      <c r="S33" s="567"/>
      <c r="T33" s="568"/>
      <c r="U33" s="569"/>
      <c r="V33" s="567"/>
      <c r="W33" s="568"/>
      <c r="X33" s="569"/>
      <c r="Y33" s="567"/>
      <c r="Z33" s="568"/>
      <c r="AA33" s="569"/>
      <c r="AB33" s="161"/>
      <c r="AC33" s="161"/>
      <c r="AD33" s="161"/>
      <c r="AE33" s="161"/>
    </row>
    <row r="34" spans="1:31" ht="15" customHeight="1" x14ac:dyDescent="0.3">
      <c r="A34" s="150"/>
      <c r="B34" s="139"/>
      <c r="C34" s="141"/>
      <c r="D34" s="142"/>
      <c r="E34" s="142"/>
      <c r="F34" s="142"/>
      <c r="G34" s="142"/>
      <c r="H34" s="142"/>
      <c r="I34" s="142"/>
      <c r="J34" s="143"/>
      <c r="K34" s="566" t="s">
        <v>538</v>
      </c>
      <c r="L34" s="566"/>
      <c r="M34" s="154"/>
      <c r="N34" s="155"/>
      <c r="O34" s="148"/>
      <c r="P34" s="567"/>
      <c r="Q34" s="568"/>
      <c r="R34" s="569"/>
      <c r="S34" s="567"/>
      <c r="T34" s="568"/>
      <c r="U34" s="569"/>
      <c r="V34" s="567"/>
      <c r="W34" s="568"/>
      <c r="X34" s="569"/>
      <c r="Y34" s="567"/>
      <c r="Z34" s="568"/>
      <c r="AA34" s="569"/>
      <c r="AB34" s="177"/>
      <c r="AC34" s="96"/>
      <c r="AD34" s="161"/>
      <c r="AE34" s="161"/>
    </row>
    <row r="35" spans="1:31" ht="15" customHeight="1" x14ac:dyDescent="0.3">
      <c r="A35" s="149" t="s">
        <v>367</v>
      </c>
      <c r="B35" s="126"/>
      <c r="C35" s="578" t="s">
        <v>539</v>
      </c>
      <c r="D35" s="578"/>
      <c r="E35" s="578"/>
      <c r="F35" s="578"/>
      <c r="G35" s="578"/>
      <c r="H35" s="578"/>
      <c r="I35" s="578"/>
      <c r="J35" s="578"/>
      <c r="K35" s="579" t="s">
        <v>366</v>
      </c>
      <c r="L35" s="579"/>
      <c r="M35" s="438" t="s">
        <v>14</v>
      </c>
      <c r="N35" s="438"/>
      <c r="O35" s="147" t="s">
        <v>14</v>
      </c>
      <c r="P35" s="521">
        <f>SUM(P36:P48)</f>
        <v>1291028.54</v>
      </c>
      <c r="Q35" s="521"/>
      <c r="R35" s="521"/>
      <c r="S35" s="521">
        <f t="shared" ref="S35" si="4">SUM(S36:S48)</f>
        <v>1291028.54</v>
      </c>
      <c r="T35" s="521"/>
      <c r="U35" s="521"/>
      <c r="V35" s="521">
        <f t="shared" ref="V35" si="5">SUM(V36:V48)</f>
        <v>1291028.54</v>
      </c>
      <c r="W35" s="521"/>
      <c r="X35" s="521"/>
      <c r="Y35" s="442"/>
      <c r="Z35" s="442"/>
      <c r="AA35" s="442"/>
      <c r="AB35" s="177"/>
      <c r="AC35" s="96"/>
      <c r="AD35" s="161"/>
      <c r="AE35" s="161"/>
    </row>
    <row r="36" spans="1:31" ht="15" customHeight="1" x14ac:dyDescent="0.3">
      <c r="A36" s="149"/>
      <c r="B36" s="126"/>
      <c r="C36" s="578" t="s">
        <v>505</v>
      </c>
      <c r="D36" s="578"/>
      <c r="E36" s="578"/>
      <c r="F36" s="578"/>
      <c r="G36" s="578"/>
      <c r="H36" s="578"/>
      <c r="I36" s="578"/>
      <c r="J36" s="578"/>
      <c r="K36" s="579" t="s">
        <v>512</v>
      </c>
      <c r="L36" s="579"/>
      <c r="M36" s="438" t="s">
        <v>14</v>
      </c>
      <c r="N36" s="438"/>
      <c r="O36" s="127" t="s">
        <v>513</v>
      </c>
      <c r="P36" s="594">
        <v>0</v>
      </c>
      <c r="Q36" s="595"/>
      <c r="R36" s="596"/>
      <c r="S36" s="594">
        <v>0</v>
      </c>
      <c r="T36" s="595"/>
      <c r="U36" s="596"/>
      <c r="V36" s="575">
        <f>S36</f>
        <v>0</v>
      </c>
      <c r="W36" s="576"/>
      <c r="X36" s="577"/>
      <c r="Y36" s="442"/>
      <c r="Z36" s="442"/>
      <c r="AA36" s="442"/>
      <c r="AB36" s="177"/>
      <c r="AC36" s="96"/>
      <c r="AD36" s="161"/>
      <c r="AE36" s="161"/>
    </row>
    <row r="37" spans="1:31" ht="15" customHeight="1" x14ac:dyDescent="0.3">
      <c r="A37" s="149"/>
      <c r="B37" s="126"/>
      <c r="C37" s="480"/>
      <c r="D37" s="562"/>
      <c r="E37" s="562"/>
      <c r="F37" s="562"/>
      <c r="G37" s="562"/>
      <c r="H37" s="562"/>
      <c r="I37" s="562"/>
      <c r="J37" s="481"/>
      <c r="K37" s="579" t="s">
        <v>514</v>
      </c>
      <c r="L37" s="579"/>
      <c r="M37" s="603"/>
      <c r="N37" s="604"/>
      <c r="O37" s="127" t="s">
        <v>515</v>
      </c>
      <c r="P37" s="594">
        <v>5458.96</v>
      </c>
      <c r="Q37" s="595"/>
      <c r="R37" s="596"/>
      <c r="S37" s="594">
        <v>5458.96</v>
      </c>
      <c r="T37" s="595"/>
      <c r="U37" s="596"/>
      <c r="V37" s="575">
        <f t="shared" ref="V37:V48" si="6">S37</f>
        <v>5458.96</v>
      </c>
      <c r="W37" s="576"/>
      <c r="X37" s="577"/>
      <c r="Y37" s="597"/>
      <c r="Z37" s="598"/>
      <c r="AA37" s="599"/>
      <c r="AB37" s="177"/>
      <c r="AC37" s="96"/>
      <c r="AD37" s="161"/>
      <c r="AE37" s="161"/>
    </row>
    <row r="38" spans="1:31" ht="15" customHeight="1" x14ac:dyDescent="0.3">
      <c r="A38" s="149"/>
      <c r="B38" s="126"/>
      <c r="C38" s="600"/>
      <c r="D38" s="601"/>
      <c r="E38" s="601"/>
      <c r="F38" s="601"/>
      <c r="G38" s="601"/>
      <c r="H38" s="601"/>
      <c r="I38" s="601"/>
      <c r="J38" s="602"/>
      <c r="K38" s="579" t="s">
        <v>516</v>
      </c>
      <c r="L38" s="579"/>
      <c r="M38" s="603"/>
      <c r="N38" s="604"/>
      <c r="O38" s="127" t="s">
        <v>517</v>
      </c>
      <c r="P38" s="594">
        <v>0</v>
      </c>
      <c r="Q38" s="595"/>
      <c r="R38" s="596"/>
      <c r="S38" s="594">
        <v>0</v>
      </c>
      <c r="T38" s="595"/>
      <c r="U38" s="596"/>
      <c r="V38" s="575">
        <f t="shared" si="6"/>
        <v>0</v>
      </c>
      <c r="W38" s="576"/>
      <c r="X38" s="577"/>
      <c r="Y38" s="597"/>
      <c r="Z38" s="598"/>
      <c r="AA38" s="599"/>
      <c r="AB38" s="177"/>
      <c r="AC38" s="96"/>
      <c r="AD38" s="161"/>
      <c r="AE38" s="161"/>
    </row>
    <row r="39" spans="1:31" ht="15" customHeight="1" x14ac:dyDescent="0.3">
      <c r="A39" s="149"/>
      <c r="B39" s="126"/>
      <c r="C39" s="600"/>
      <c r="D39" s="601"/>
      <c r="E39" s="601"/>
      <c r="F39" s="601"/>
      <c r="G39" s="601"/>
      <c r="H39" s="601"/>
      <c r="I39" s="601"/>
      <c r="J39" s="602"/>
      <c r="K39" s="579" t="s">
        <v>518</v>
      </c>
      <c r="L39" s="579"/>
      <c r="M39" s="603"/>
      <c r="N39" s="604"/>
      <c r="O39" s="127" t="s">
        <v>519</v>
      </c>
      <c r="P39" s="594">
        <v>0</v>
      </c>
      <c r="Q39" s="595"/>
      <c r="R39" s="596"/>
      <c r="S39" s="594">
        <v>0</v>
      </c>
      <c r="T39" s="595"/>
      <c r="U39" s="596"/>
      <c r="V39" s="575">
        <f t="shared" si="6"/>
        <v>0</v>
      </c>
      <c r="W39" s="576"/>
      <c r="X39" s="577"/>
      <c r="Y39" s="597"/>
      <c r="Z39" s="598"/>
      <c r="AA39" s="599"/>
      <c r="AB39" s="177"/>
      <c r="AC39" s="96"/>
      <c r="AD39" s="161"/>
      <c r="AE39" s="161"/>
    </row>
    <row r="40" spans="1:31" ht="15" customHeight="1" x14ac:dyDescent="0.3">
      <c r="A40" s="149"/>
      <c r="B40" s="126"/>
      <c r="C40" s="600"/>
      <c r="D40" s="601"/>
      <c r="E40" s="601"/>
      <c r="F40" s="601"/>
      <c r="G40" s="601"/>
      <c r="H40" s="601"/>
      <c r="I40" s="601"/>
      <c r="J40" s="602"/>
      <c r="K40" s="579" t="s">
        <v>520</v>
      </c>
      <c r="L40" s="579"/>
      <c r="M40" s="603"/>
      <c r="N40" s="604"/>
      <c r="O40" s="127" t="s">
        <v>521</v>
      </c>
      <c r="P40" s="594">
        <v>0</v>
      </c>
      <c r="Q40" s="595"/>
      <c r="R40" s="596"/>
      <c r="S40" s="594">
        <v>0</v>
      </c>
      <c r="T40" s="595"/>
      <c r="U40" s="596"/>
      <c r="V40" s="575">
        <f t="shared" si="6"/>
        <v>0</v>
      </c>
      <c r="W40" s="576"/>
      <c r="X40" s="577"/>
      <c r="Y40" s="597"/>
      <c r="Z40" s="598"/>
      <c r="AA40" s="599"/>
      <c r="AB40" s="177"/>
      <c r="AC40" s="96"/>
      <c r="AD40" s="161"/>
      <c r="AE40" s="161"/>
    </row>
    <row r="41" spans="1:31" ht="15" customHeight="1" x14ac:dyDescent="0.3">
      <c r="A41" s="149"/>
      <c r="B41" s="126"/>
      <c r="C41" s="600"/>
      <c r="D41" s="601"/>
      <c r="E41" s="601"/>
      <c r="F41" s="601"/>
      <c r="G41" s="601"/>
      <c r="H41" s="601"/>
      <c r="I41" s="601"/>
      <c r="J41" s="602"/>
      <c r="K41" s="579" t="s">
        <v>522</v>
      </c>
      <c r="L41" s="579"/>
      <c r="M41" s="603"/>
      <c r="N41" s="604"/>
      <c r="O41" s="127" t="s">
        <v>523</v>
      </c>
      <c r="P41" s="594">
        <v>1227102</v>
      </c>
      <c r="Q41" s="595"/>
      <c r="R41" s="596"/>
      <c r="S41" s="594">
        <v>1227102</v>
      </c>
      <c r="T41" s="595"/>
      <c r="U41" s="596"/>
      <c r="V41" s="575">
        <f t="shared" si="6"/>
        <v>1227102</v>
      </c>
      <c r="W41" s="576"/>
      <c r="X41" s="577"/>
      <c r="Y41" s="597"/>
      <c r="Z41" s="598"/>
      <c r="AA41" s="599"/>
      <c r="AB41" s="177"/>
      <c r="AC41" s="96"/>
      <c r="AD41" s="161"/>
      <c r="AE41" s="161"/>
    </row>
    <row r="42" spans="1:31" ht="15" customHeight="1" x14ac:dyDescent="0.3">
      <c r="A42" s="149"/>
      <c r="B42" s="126"/>
      <c r="C42" s="600"/>
      <c r="D42" s="601"/>
      <c r="E42" s="601"/>
      <c r="F42" s="601"/>
      <c r="G42" s="601"/>
      <c r="H42" s="601"/>
      <c r="I42" s="601"/>
      <c r="J42" s="602"/>
      <c r="K42" s="579" t="s">
        <v>524</v>
      </c>
      <c r="L42" s="579"/>
      <c r="M42" s="603"/>
      <c r="N42" s="604"/>
      <c r="O42" s="127" t="s">
        <v>525</v>
      </c>
      <c r="P42" s="594">
        <v>0</v>
      </c>
      <c r="Q42" s="595"/>
      <c r="R42" s="596"/>
      <c r="S42" s="594">
        <v>0</v>
      </c>
      <c r="T42" s="595"/>
      <c r="U42" s="596"/>
      <c r="V42" s="575">
        <f t="shared" si="6"/>
        <v>0</v>
      </c>
      <c r="W42" s="576"/>
      <c r="X42" s="577"/>
      <c r="Y42" s="597"/>
      <c r="Z42" s="598"/>
      <c r="AA42" s="599"/>
      <c r="AB42" s="177"/>
      <c r="AC42" s="96"/>
      <c r="AD42" s="161"/>
      <c r="AE42" s="161"/>
    </row>
    <row r="43" spans="1:31" ht="15" customHeight="1" x14ac:dyDescent="0.3">
      <c r="A43" s="149"/>
      <c r="B43" s="126"/>
      <c r="C43" s="128"/>
      <c r="D43" s="129"/>
      <c r="E43" s="129"/>
      <c r="F43" s="129"/>
      <c r="G43" s="129"/>
      <c r="H43" s="129"/>
      <c r="I43" s="129"/>
      <c r="J43" s="130"/>
      <c r="K43" s="579" t="s">
        <v>526</v>
      </c>
      <c r="L43" s="579"/>
      <c r="M43" s="603"/>
      <c r="N43" s="604"/>
      <c r="O43" s="127" t="s">
        <v>527</v>
      </c>
      <c r="P43" s="594">
        <v>23635.199999999997</v>
      </c>
      <c r="Q43" s="595"/>
      <c r="R43" s="596"/>
      <c r="S43" s="594">
        <v>23635.199999999997</v>
      </c>
      <c r="T43" s="595"/>
      <c r="U43" s="596"/>
      <c r="V43" s="575">
        <f t="shared" si="6"/>
        <v>23635.199999999997</v>
      </c>
      <c r="W43" s="576"/>
      <c r="X43" s="577"/>
      <c r="Y43" s="575"/>
      <c r="Z43" s="576"/>
      <c r="AA43" s="577"/>
      <c r="AB43" s="177"/>
      <c r="AC43" s="96"/>
      <c r="AD43" s="161"/>
      <c r="AE43" s="161"/>
    </row>
    <row r="44" spans="1:31" ht="15" customHeight="1" x14ac:dyDescent="0.3">
      <c r="A44" s="149"/>
      <c r="B44" s="126"/>
      <c r="C44" s="128"/>
      <c r="D44" s="129"/>
      <c r="E44" s="129"/>
      <c r="F44" s="129"/>
      <c r="G44" s="129"/>
      <c r="H44" s="129"/>
      <c r="I44" s="129"/>
      <c r="J44" s="130"/>
      <c r="K44" s="579" t="s">
        <v>528</v>
      </c>
      <c r="L44" s="579"/>
      <c r="M44" s="603"/>
      <c r="N44" s="604"/>
      <c r="O44" s="127" t="s">
        <v>529</v>
      </c>
      <c r="P44" s="594">
        <v>0</v>
      </c>
      <c r="Q44" s="595"/>
      <c r="R44" s="596"/>
      <c r="S44" s="594">
        <v>0</v>
      </c>
      <c r="T44" s="595"/>
      <c r="U44" s="596"/>
      <c r="V44" s="575">
        <f t="shared" si="6"/>
        <v>0</v>
      </c>
      <c r="W44" s="576"/>
      <c r="X44" s="577"/>
      <c r="Y44" s="575"/>
      <c r="Z44" s="576"/>
      <c r="AA44" s="577"/>
      <c r="AB44" s="177"/>
      <c r="AC44" s="96"/>
      <c r="AD44" s="161"/>
      <c r="AE44" s="161"/>
    </row>
    <row r="45" spans="1:31" ht="15" customHeight="1" x14ac:dyDescent="0.3">
      <c r="A45" s="149"/>
      <c r="B45" s="126"/>
      <c r="C45" s="128"/>
      <c r="D45" s="129"/>
      <c r="E45" s="129"/>
      <c r="F45" s="129"/>
      <c r="G45" s="129"/>
      <c r="H45" s="129"/>
      <c r="I45" s="129"/>
      <c r="J45" s="130"/>
      <c r="K45" s="579" t="s">
        <v>530</v>
      </c>
      <c r="L45" s="579"/>
      <c r="M45" s="603"/>
      <c r="N45" s="604"/>
      <c r="O45" s="127" t="s">
        <v>531</v>
      </c>
      <c r="P45" s="594">
        <v>0</v>
      </c>
      <c r="Q45" s="595"/>
      <c r="R45" s="596"/>
      <c r="S45" s="594">
        <v>0</v>
      </c>
      <c r="T45" s="595"/>
      <c r="U45" s="596"/>
      <c r="V45" s="575">
        <f t="shared" si="6"/>
        <v>0</v>
      </c>
      <c r="W45" s="576"/>
      <c r="X45" s="577"/>
      <c r="Y45" s="575"/>
      <c r="Z45" s="576"/>
      <c r="AA45" s="577"/>
      <c r="AB45" s="177"/>
      <c r="AC45" s="96"/>
      <c r="AD45" s="161"/>
      <c r="AE45" s="161"/>
    </row>
    <row r="46" spans="1:31" ht="15" customHeight="1" x14ac:dyDescent="0.3">
      <c r="A46" s="149"/>
      <c r="B46" s="126"/>
      <c r="C46" s="128"/>
      <c r="D46" s="129"/>
      <c r="E46" s="129"/>
      <c r="F46" s="129"/>
      <c r="G46" s="129"/>
      <c r="H46" s="129"/>
      <c r="I46" s="129"/>
      <c r="J46" s="130"/>
      <c r="K46" s="579" t="s">
        <v>532</v>
      </c>
      <c r="L46" s="579"/>
      <c r="M46" s="603"/>
      <c r="N46" s="604"/>
      <c r="O46" s="127" t="s">
        <v>533</v>
      </c>
      <c r="P46" s="594">
        <v>0</v>
      </c>
      <c r="Q46" s="595"/>
      <c r="R46" s="596"/>
      <c r="S46" s="594">
        <v>0</v>
      </c>
      <c r="T46" s="595"/>
      <c r="U46" s="596"/>
      <c r="V46" s="575">
        <f t="shared" si="6"/>
        <v>0</v>
      </c>
      <c r="W46" s="576"/>
      <c r="X46" s="577"/>
      <c r="Y46" s="575"/>
      <c r="Z46" s="576"/>
      <c r="AA46" s="577"/>
      <c r="AB46" s="177"/>
      <c r="AC46" s="96"/>
      <c r="AD46" s="161"/>
      <c r="AE46" s="161"/>
    </row>
    <row r="47" spans="1:31" ht="15" customHeight="1" x14ac:dyDescent="0.3">
      <c r="A47" s="149"/>
      <c r="B47" s="126"/>
      <c r="C47" s="128"/>
      <c r="D47" s="129"/>
      <c r="E47" s="129"/>
      <c r="F47" s="129"/>
      <c r="G47" s="129"/>
      <c r="H47" s="129"/>
      <c r="I47" s="129"/>
      <c r="J47" s="130"/>
      <c r="K47" s="579" t="s">
        <v>534</v>
      </c>
      <c r="L47" s="579"/>
      <c r="M47" s="603"/>
      <c r="N47" s="604"/>
      <c r="O47" s="127" t="s">
        <v>535</v>
      </c>
      <c r="P47" s="594">
        <v>34832.380000000005</v>
      </c>
      <c r="Q47" s="595"/>
      <c r="R47" s="596"/>
      <c r="S47" s="594">
        <v>34832.380000000005</v>
      </c>
      <c r="T47" s="595"/>
      <c r="U47" s="596"/>
      <c r="V47" s="575">
        <f t="shared" si="6"/>
        <v>34832.380000000005</v>
      </c>
      <c r="W47" s="576"/>
      <c r="X47" s="577"/>
      <c r="Y47" s="575"/>
      <c r="Z47" s="576"/>
      <c r="AA47" s="577"/>
      <c r="AB47" s="177"/>
      <c r="AC47" s="96"/>
      <c r="AD47" s="161"/>
      <c r="AE47" s="161"/>
    </row>
    <row r="48" spans="1:31" ht="15" customHeight="1" x14ac:dyDescent="0.3">
      <c r="A48" s="149"/>
      <c r="B48" s="126"/>
      <c r="C48" s="128"/>
      <c r="D48" s="129"/>
      <c r="E48" s="129"/>
      <c r="F48" s="129"/>
      <c r="G48" s="129"/>
      <c r="H48" s="129"/>
      <c r="I48" s="129"/>
      <c r="J48" s="130"/>
      <c r="K48" s="579" t="s">
        <v>536</v>
      </c>
      <c r="L48" s="579"/>
      <c r="M48" s="603"/>
      <c r="N48" s="604"/>
      <c r="O48" s="151" t="s">
        <v>537</v>
      </c>
      <c r="P48" s="594">
        <v>0</v>
      </c>
      <c r="Q48" s="595"/>
      <c r="R48" s="596"/>
      <c r="S48" s="594">
        <v>0</v>
      </c>
      <c r="T48" s="595"/>
      <c r="U48" s="596"/>
      <c r="V48" s="575">
        <f t="shared" si="6"/>
        <v>0</v>
      </c>
      <c r="W48" s="576"/>
      <c r="X48" s="577"/>
      <c r="Y48" s="575"/>
      <c r="Z48" s="576"/>
      <c r="AA48" s="577"/>
      <c r="AB48" s="177"/>
      <c r="AC48" s="96"/>
      <c r="AD48" s="161"/>
      <c r="AE48" s="161"/>
    </row>
    <row r="49" spans="1:31" ht="15" customHeight="1" x14ac:dyDescent="0.3">
      <c r="A49" s="149"/>
      <c r="B49" s="126"/>
      <c r="C49" s="128"/>
      <c r="D49" s="129"/>
      <c r="E49" s="129"/>
      <c r="F49" s="129"/>
      <c r="G49" s="129"/>
      <c r="H49" s="129"/>
      <c r="I49" s="129"/>
      <c r="J49" s="130"/>
      <c r="K49" s="579" t="s">
        <v>538</v>
      </c>
      <c r="L49" s="579"/>
      <c r="M49" s="603"/>
      <c r="N49" s="604"/>
      <c r="O49" s="151"/>
      <c r="P49" s="575"/>
      <c r="Q49" s="576"/>
      <c r="R49" s="577"/>
      <c r="S49" s="575"/>
      <c r="T49" s="576"/>
      <c r="U49" s="577"/>
      <c r="V49" s="575"/>
      <c r="W49" s="576"/>
      <c r="X49" s="577"/>
      <c r="Y49" s="575"/>
      <c r="Z49" s="576"/>
      <c r="AA49" s="577"/>
      <c r="AB49" s="177"/>
      <c r="AC49" s="96"/>
      <c r="AD49" s="161"/>
      <c r="AE49" s="161"/>
    </row>
    <row r="50" spans="1:31" ht="15" customHeight="1" x14ac:dyDescent="0.3">
      <c r="A50" s="150" t="s">
        <v>368</v>
      </c>
      <c r="B50" s="139"/>
      <c r="C50" s="573" t="s">
        <v>369</v>
      </c>
      <c r="D50" s="573"/>
      <c r="E50" s="573"/>
      <c r="F50" s="573"/>
      <c r="G50" s="573"/>
      <c r="H50" s="573"/>
      <c r="I50" s="573"/>
      <c r="J50" s="573"/>
      <c r="K50" s="566" t="s">
        <v>370</v>
      </c>
      <c r="L50" s="566"/>
      <c r="M50" s="574" t="s">
        <v>14</v>
      </c>
      <c r="N50" s="574"/>
      <c r="O50" s="148"/>
      <c r="P50" s="581">
        <f>P52+P53+P54+P55+P56+P57</f>
        <v>34832.380000000005</v>
      </c>
      <c r="Q50" s="581"/>
      <c r="R50" s="581"/>
      <c r="S50" s="581">
        <f t="shared" ref="S50" si="7">S52+S53+S54+S55+S56+S57</f>
        <v>0</v>
      </c>
      <c r="T50" s="581"/>
      <c r="U50" s="581"/>
      <c r="V50" s="581">
        <f t="shared" ref="V50" si="8">V52+V53+V54+V55+V56+V57</f>
        <v>0</v>
      </c>
      <c r="W50" s="581"/>
      <c r="X50" s="581"/>
      <c r="Y50" s="593"/>
      <c r="Z50" s="593"/>
      <c r="AA50" s="593"/>
      <c r="AB50" s="161"/>
      <c r="AC50" s="161"/>
      <c r="AD50" s="161"/>
      <c r="AE50" s="161"/>
    </row>
    <row r="51" spans="1:31" ht="15" customHeight="1" x14ac:dyDescent="0.3">
      <c r="A51" s="150"/>
      <c r="B51" s="139"/>
      <c r="C51" s="573" t="s">
        <v>505</v>
      </c>
      <c r="D51" s="573"/>
      <c r="E51" s="573"/>
      <c r="F51" s="573"/>
      <c r="G51" s="573"/>
      <c r="H51" s="573"/>
      <c r="I51" s="573"/>
      <c r="J51" s="573"/>
      <c r="K51" s="605" t="s">
        <v>540</v>
      </c>
      <c r="L51" s="606"/>
      <c r="M51" s="574"/>
      <c r="N51" s="574"/>
      <c r="O51" s="148" t="s">
        <v>523</v>
      </c>
      <c r="P51" s="567"/>
      <c r="Q51" s="568"/>
      <c r="R51" s="569"/>
      <c r="S51" s="581"/>
      <c r="T51" s="581"/>
      <c r="U51" s="581"/>
      <c r="V51" s="581"/>
      <c r="W51" s="581"/>
      <c r="X51" s="581"/>
      <c r="Y51" s="593"/>
      <c r="Z51" s="593"/>
      <c r="AA51" s="593"/>
      <c r="AB51" s="161"/>
      <c r="AC51" s="161"/>
      <c r="AD51" s="161"/>
      <c r="AE51" s="161"/>
    </row>
    <row r="52" spans="1:31" ht="15" customHeight="1" x14ac:dyDescent="0.3">
      <c r="A52" s="150"/>
      <c r="B52" s="139"/>
      <c r="C52" s="573"/>
      <c r="D52" s="573"/>
      <c r="E52" s="573"/>
      <c r="F52" s="573"/>
      <c r="G52" s="573"/>
      <c r="H52" s="573"/>
      <c r="I52" s="573"/>
      <c r="J52" s="573"/>
      <c r="K52" s="605" t="s">
        <v>541</v>
      </c>
      <c r="L52" s="606"/>
      <c r="M52" s="574"/>
      <c r="N52" s="574"/>
      <c r="O52" s="148" t="s">
        <v>525</v>
      </c>
      <c r="P52" s="567">
        <v>0</v>
      </c>
      <c r="Q52" s="568"/>
      <c r="R52" s="569"/>
      <c r="S52" s="581"/>
      <c r="T52" s="581"/>
      <c r="U52" s="581"/>
      <c r="V52" s="581"/>
      <c r="W52" s="581"/>
      <c r="X52" s="581"/>
      <c r="Y52" s="593"/>
      <c r="Z52" s="593"/>
      <c r="AA52" s="593"/>
      <c r="AB52" s="161"/>
      <c r="AC52" s="161"/>
      <c r="AD52" s="161"/>
      <c r="AE52" s="161"/>
    </row>
    <row r="53" spans="1:31" ht="15" customHeight="1" x14ac:dyDescent="0.3">
      <c r="A53" s="150"/>
      <c r="B53" s="139"/>
      <c r="C53" s="141"/>
      <c r="D53" s="142"/>
      <c r="E53" s="142"/>
      <c r="F53" s="142"/>
      <c r="G53" s="142"/>
      <c r="H53" s="142"/>
      <c r="I53" s="142"/>
      <c r="J53" s="143"/>
      <c r="K53" s="605" t="s">
        <v>542</v>
      </c>
      <c r="L53" s="606"/>
      <c r="M53" s="607"/>
      <c r="N53" s="608"/>
      <c r="O53" s="148" t="s">
        <v>529</v>
      </c>
      <c r="P53" s="567"/>
      <c r="Q53" s="568"/>
      <c r="R53" s="569"/>
      <c r="S53" s="581"/>
      <c r="T53" s="581"/>
      <c r="U53" s="581"/>
      <c r="V53" s="581"/>
      <c r="W53" s="581"/>
      <c r="X53" s="581"/>
      <c r="Y53" s="593"/>
      <c r="Z53" s="593"/>
      <c r="AA53" s="593"/>
      <c r="AB53" s="161"/>
      <c r="AC53" s="161"/>
      <c r="AD53" s="161"/>
      <c r="AE53" s="161"/>
    </row>
    <row r="54" spans="1:31" ht="15" customHeight="1" x14ac:dyDescent="0.3">
      <c r="A54" s="150"/>
      <c r="B54" s="139"/>
      <c r="C54" s="144"/>
      <c r="D54" s="145"/>
      <c r="E54" s="145"/>
      <c r="F54" s="145"/>
      <c r="G54" s="145"/>
      <c r="H54" s="145"/>
      <c r="I54" s="145"/>
      <c r="J54" s="146"/>
      <c r="K54" s="605" t="s">
        <v>543</v>
      </c>
      <c r="L54" s="606"/>
      <c r="M54" s="607"/>
      <c r="N54" s="608"/>
      <c r="O54" s="148" t="s">
        <v>519</v>
      </c>
      <c r="P54" s="567"/>
      <c r="Q54" s="568"/>
      <c r="R54" s="569"/>
      <c r="S54" s="567"/>
      <c r="T54" s="568"/>
      <c r="U54" s="569"/>
      <c r="V54" s="567"/>
      <c r="W54" s="568"/>
      <c r="X54" s="569"/>
      <c r="Y54" s="567"/>
      <c r="Z54" s="568"/>
      <c r="AA54" s="569"/>
      <c r="AB54" s="161"/>
      <c r="AC54" s="161"/>
      <c r="AD54" s="161"/>
      <c r="AE54" s="161"/>
    </row>
    <row r="55" spans="1:31" ht="15" customHeight="1" x14ac:dyDescent="0.3">
      <c r="A55" s="150"/>
      <c r="B55" s="139"/>
      <c r="C55" s="144"/>
      <c r="D55" s="145"/>
      <c r="E55" s="145"/>
      <c r="F55" s="145"/>
      <c r="G55" s="145"/>
      <c r="H55" s="145"/>
      <c r="I55" s="145"/>
      <c r="J55" s="146"/>
      <c r="K55" s="605" t="s">
        <v>544</v>
      </c>
      <c r="L55" s="606"/>
      <c r="M55" s="607"/>
      <c r="N55" s="608"/>
      <c r="O55" s="148" t="s">
        <v>531</v>
      </c>
      <c r="P55" s="567">
        <v>34832.380000000005</v>
      </c>
      <c r="Q55" s="568"/>
      <c r="R55" s="569"/>
      <c r="S55" s="567"/>
      <c r="T55" s="568"/>
      <c r="U55" s="569"/>
      <c r="V55" s="567"/>
      <c r="W55" s="568"/>
      <c r="X55" s="569"/>
      <c r="Y55" s="567"/>
      <c r="Z55" s="568"/>
      <c r="AA55" s="569"/>
      <c r="AB55" s="161"/>
      <c r="AC55" s="161"/>
      <c r="AD55" s="161"/>
      <c r="AE55" s="161"/>
    </row>
    <row r="56" spans="1:31" ht="15" customHeight="1" x14ac:dyDescent="0.3">
      <c r="A56" s="150"/>
      <c r="B56" s="139"/>
      <c r="C56" s="144"/>
      <c r="D56" s="145"/>
      <c r="E56" s="145"/>
      <c r="F56" s="145"/>
      <c r="G56" s="145"/>
      <c r="H56" s="145"/>
      <c r="I56" s="145"/>
      <c r="J56" s="146"/>
      <c r="K56" s="605" t="s">
        <v>545</v>
      </c>
      <c r="L56" s="606"/>
      <c r="M56" s="607"/>
      <c r="N56" s="608"/>
      <c r="O56" s="148" t="s">
        <v>533</v>
      </c>
      <c r="P56" s="567"/>
      <c r="Q56" s="568"/>
      <c r="R56" s="569"/>
      <c r="S56" s="567"/>
      <c r="T56" s="568"/>
      <c r="U56" s="569"/>
      <c r="V56" s="567"/>
      <c r="W56" s="568"/>
      <c r="X56" s="569"/>
      <c r="Y56" s="567"/>
      <c r="Z56" s="568"/>
      <c r="AA56" s="569"/>
      <c r="AB56" s="161"/>
      <c r="AC56" s="161"/>
      <c r="AD56" s="161"/>
      <c r="AE56" s="161"/>
    </row>
    <row r="57" spans="1:31" ht="15" customHeight="1" x14ac:dyDescent="0.3">
      <c r="A57" s="150"/>
      <c r="B57" s="139"/>
      <c r="C57" s="144"/>
      <c r="D57" s="145"/>
      <c r="E57" s="145"/>
      <c r="F57" s="145"/>
      <c r="G57" s="145"/>
      <c r="H57" s="145"/>
      <c r="I57" s="145"/>
      <c r="J57" s="146"/>
      <c r="K57" s="605" t="s">
        <v>546</v>
      </c>
      <c r="L57" s="606"/>
      <c r="M57" s="607"/>
      <c r="N57" s="608"/>
      <c r="O57" s="148"/>
      <c r="P57" s="567"/>
      <c r="Q57" s="568"/>
      <c r="R57" s="569"/>
      <c r="S57" s="567"/>
      <c r="T57" s="568"/>
      <c r="U57" s="569"/>
      <c r="V57" s="567"/>
      <c r="W57" s="568"/>
      <c r="X57" s="569"/>
      <c r="Y57" s="567"/>
      <c r="Z57" s="568"/>
      <c r="AA57" s="569"/>
      <c r="AB57" s="161"/>
      <c r="AC57" s="161"/>
      <c r="AD57" s="161"/>
      <c r="AE57" s="161"/>
    </row>
    <row r="58" spans="1:31" ht="15" customHeight="1" x14ac:dyDescent="0.3">
      <c r="A58" s="149" t="s">
        <v>371</v>
      </c>
      <c r="B58" s="126"/>
      <c r="C58" s="578" t="s">
        <v>372</v>
      </c>
      <c r="D58" s="578"/>
      <c r="E58" s="578"/>
      <c r="F58" s="578"/>
      <c r="G58" s="578"/>
      <c r="H58" s="578"/>
      <c r="I58" s="578"/>
      <c r="J58" s="578"/>
      <c r="K58" s="609" t="s">
        <v>373</v>
      </c>
      <c r="L58" s="610"/>
      <c r="M58" s="438" t="s">
        <v>14</v>
      </c>
      <c r="N58" s="438"/>
      <c r="O58" s="151"/>
      <c r="P58" s="521">
        <f>P60</f>
        <v>155669.48000000045</v>
      </c>
      <c r="Q58" s="521"/>
      <c r="R58" s="521"/>
      <c r="S58" s="521">
        <f>S7-S18-S35</f>
        <v>22306.719999999739</v>
      </c>
      <c r="T58" s="521">
        <f>T7-T16-T19</f>
        <v>0</v>
      </c>
      <c r="U58" s="521">
        <f>U7-U16-U19</f>
        <v>0</v>
      </c>
      <c r="V58" s="521">
        <f>V7-V18-V35</f>
        <v>22306.719999999739</v>
      </c>
      <c r="W58" s="521">
        <f>W7-W16-W19</f>
        <v>0</v>
      </c>
      <c r="X58" s="521">
        <f>X7-X16-X19</f>
        <v>0</v>
      </c>
      <c r="Y58" s="442"/>
      <c r="Z58" s="442"/>
      <c r="AA58" s="442"/>
      <c r="AB58" s="181">
        <v>28223781.170000006</v>
      </c>
      <c r="AC58" s="179">
        <f>AB58-P58</f>
        <v>28068111.690000005</v>
      </c>
      <c r="AD58" s="161"/>
      <c r="AE58" s="161"/>
    </row>
    <row r="59" spans="1:31" ht="15" customHeight="1" x14ac:dyDescent="0.3">
      <c r="A59" s="150" t="s">
        <v>374</v>
      </c>
      <c r="B59" s="139"/>
      <c r="C59" s="573" t="s">
        <v>560</v>
      </c>
      <c r="D59" s="573"/>
      <c r="E59" s="573"/>
      <c r="F59" s="573"/>
      <c r="G59" s="573"/>
      <c r="H59" s="573"/>
      <c r="I59" s="573"/>
      <c r="J59" s="573"/>
      <c r="K59" s="605" t="s">
        <v>375</v>
      </c>
      <c r="L59" s="606"/>
      <c r="M59" s="574" t="s">
        <v>14</v>
      </c>
      <c r="N59" s="574"/>
      <c r="O59" s="148"/>
      <c r="P59" s="581"/>
      <c r="Q59" s="581"/>
      <c r="R59" s="581"/>
      <c r="S59" s="581"/>
      <c r="T59" s="581"/>
      <c r="U59" s="581"/>
      <c r="V59" s="581"/>
      <c r="W59" s="581"/>
      <c r="X59" s="581"/>
      <c r="Y59" s="593"/>
      <c r="Z59" s="593"/>
      <c r="AA59" s="593"/>
      <c r="AB59" s="161"/>
      <c r="AC59" s="182"/>
      <c r="AD59" s="161"/>
      <c r="AE59" s="161"/>
    </row>
    <row r="60" spans="1:31" ht="15" customHeight="1" x14ac:dyDescent="0.3">
      <c r="A60" s="149" t="s">
        <v>376</v>
      </c>
      <c r="B60" s="126"/>
      <c r="C60" s="578" t="s">
        <v>561</v>
      </c>
      <c r="D60" s="578"/>
      <c r="E60" s="578"/>
      <c r="F60" s="578"/>
      <c r="G60" s="578"/>
      <c r="H60" s="578"/>
      <c r="I60" s="578"/>
      <c r="J60" s="578"/>
      <c r="K60" s="579" t="s">
        <v>377</v>
      </c>
      <c r="L60" s="579"/>
      <c r="M60" s="438" t="s">
        <v>14</v>
      </c>
      <c r="N60" s="438"/>
      <c r="O60" s="151"/>
      <c r="P60" s="521">
        <f>P7-P16-P19-P10</f>
        <v>155669.48000000045</v>
      </c>
      <c r="Q60" s="521"/>
      <c r="R60" s="521"/>
      <c r="S60" s="575">
        <f>S7-S18-S35</f>
        <v>22306.719999999739</v>
      </c>
      <c r="T60" s="576"/>
      <c r="U60" s="577"/>
      <c r="V60" s="575">
        <f>V7-V18-V35</f>
        <v>22306.719999999739</v>
      </c>
      <c r="W60" s="576"/>
      <c r="X60" s="577"/>
      <c r="Y60" s="442"/>
      <c r="Z60" s="442"/>
      <c r="AA60" s="442"/>
      <c r="AB60" s="161"/>
      <c r="AC60" s="182"/>
      <c r="AD60" s="161"/>
      <c r="AE60" s="161"/>
    </row>
    <row r="61" spans="1:31" ht="45" customHeight="1" x14ac:dyDescent="0.3">
      <c r="A61" s="150" t="s">
        <v>336</v>
      </c>
      <c r="B61" s="139"/>
      <c r="C61" s="573" t="s">
        <v>378</v>
      </c>
      <c r="D61" s="573"/>
      <c r="E61" s="573"/>
      <c r="F61" s="573"/>
      <c r="G61" s="573"/>
      <c r="H61" s="573"/>
      <c r="I61" s="573"/>
      <c r="J61" s="573"/>
      <c r="K61" s="566" t="s">
        <v>379</v>
      </c>
      <c r="L61" s="566"/>
      <c r="M61" s="574" t="s">
        <v>14</v>
      </c>
      <c r="N61" s="574"/>
      <c r="O61" s="148"/>
      <c r="P61" s="581">
        <f>P62+P63+P64</f>
        <v>0</v>
      </c>
      <c r="Q61" s="581"/>
      <c r="R61" s="581"/>
      <c r="S61" s="581">
        <f t="shared" ref="S61" si="9">S62+S63+S64</f>
        <v>0</v>
      </c>
      <c r="T61" s="581"/>
      <c r="U61" s="581"/>
      <c r="V61" s="581">
        <f t="shared" ref="V61" si="10">V62+V63+V64</f>
        <v>0</v>
      </c>
      <c r="W61" s="581"/>
      <c r="X61" s="581"/>
      <c r="Y61" s="593"/>
      <c r="Z61" s="593"/>
      <c r="AA61" s="593"/>
      <c r="AB61" s="161"/>
      <c r="AC61" s="182"/>
      <c r="AD61" s="161"/>
      <c r="AE61" s="161"/>
    </row>
    <row r="62" spans="1:31" ht="15" customHeight="1" x14ac:dyDescent="0.3">
      <c r="A62" s="150"/>
      <c r="B62" s="139"/>
      <c r="C62" s="573" t="s">
        <v>380</v>
      </c>
      <c r="D62" s="573"/>
      <c r="E62" s="573"/>
      <c r="F62" s="573"/>
      <c r="G62" s="573"/>
      <c r="H62" s="573"/>
      <c r="I62" s="573"/>
      <c r="J62" s="573"/>
      <c r="K62" s="566" t="s">
        <v>381</v>
      </c>
      <c r="L62" s="566"/>
      <c r="M62" s="574" t="s">
        <v>482</v>
      </c>
      <c r="N62" s="574"/>
      <c r="O62" s="148"/>
      <c r="P62" s="581"/>
      <c r="Q62" s="581"/>
      <c r="R62" s="581"/>
      <c r="S62" s="581"/>
      <c r="T62" s="581"/>
      <c r="U62" s="581"/>
      <c r="V62" s="581"/>
      <c r="W62" s="581"/>
      <c r="X62" s="581"/>
      <c r="Y62" s="593"/>
      <c r="Z62" s="593"/>
      <c r="AA62" s="593"/>
      <c r="AB62" s="161"/>
      <c r="AC62" s="182"/>
      <c r="AD62" s="161"/>
      <c r="AE62" s="161"/>
    </row>
    <row r="63" spans="1:31" ht="15" customHeight="1" x14ac:dyDescent="0.3">
      <c r="A63" s="150"/>
      <c r="B63" s="139"/>
      <c r="C63" s="573" t="s">
        <v>380</v>
      </c>
      <c r="D63" s="573"/>
      <c r="E63" s="573"/>
      <c r="F63" s="573"/>
      <c r="G63" s="573"/>
      <c r="H63" s="573"/>
      <c r="I63" s="573"/>
      <c r="J63" s="573"/>
      <c r="K63" s="566" t="s">
        <v>483</v>
      </c>
      <c r="L63" s="566"/>
      <c r="M63" s="574" t="s">
        <v>484</v>
      </c>
      <c r="N63" s="574"/>
      <c r="O63" s="148"/>
      <c r="P63" s="581"/>
      <c r="Q63" s="581"/>
      <c r="R63" s="581"/>
      <c r="S63" s="581"/>
      <c r="T63" s="581"/>
      <c r="U63" s="581"/>
      <c r="V63" s="581"/>
      <c r="W63" s="581"/>
      <c r="X63" s="581"/>
      <c r="Y63" s="593"/>
      <c r="Z63" s="593"/>
      <c r="AA63" s="593"/>
      <c r="AB63" s="181" t="s">
        <v>13</v>
      </c>
      <c r="AC63" s="525"/>
      <c r="AD63" s="525"/>
      <c r="AE63" s="525"/>
    </row>
    <row r="64" spans="1:31" ht="15" customHeight="1" x14ac:dyDescent="0.3">
      <c r="A64" s="150"/>
      <c r="B64" s="139"/>
      <c r="C64" s="573" t="s">
        <v>380</v>
      </c>
      <c r="D64" s="573"/>
      <c r="E64" s="573"/>
      <c r="F64" s="573"/>
      <c r="G64" s="573"/>
      <c r="H64" s="573"/>
      <c r="I64" s="573"/>
      <c r="J64" s="573"/>
      <c r="K64" s="566" t="s">
        <v>485</v>
      </c>
      <c r="L64" s="566"/>
      <c r="M64" s="574" t="s">
        <v>486</v>
      </c>
      <c r="N64" s="574"/>
      <c r="O64" s="148"/>
      <c r="P64" s="581"/>
      <c r="Q64" s="581"/>
      <c r="R64" s="581"/>
      <c r="S64" s="581"/>
      <c r="T64" s="581"/>
      <c r="U64" s="581"/>
      <c r="V64" s="581"/>
      <c r="W64" s="581"/>
      <c r="X64" s="581"/>
      <c r="Y64" s="593"/>
      <c r="Z64" s="593"/>
      <c r="AA64" s="593"/>
      <c r="AB64" s="181">
        <f>AB15-AB16-AB19-AB58</f>
        <v>-81590475.350000009</v>
      </c>
      <c r="AC64" s="182"/>
      <c r="AD64" s="161"/>
      <c r="AE64" s="161"/>
    </row>
    <row r="65" spans="1:31" ht="45" customHeight="1" x14ac:dyDescent="0.3">
      <c r="A65" s="149" t="s">
        <v>40</v>
      </c>
      <c r="B65" s="126"/>
      <c r="C65" s="578" t="s">
        <v>382</v>
      </c>
      <c r="D65" s="578"/>
      <c r="E65" s="578"/>
      <c r="F65" s="578"/>
      <c r="G65" s="578"/>
      <c r="H65" s="578"/>
      <c r="I65" s="578"/>
      <c r="J65" s="578"/>
      <c r="K65" s="579" t="s">
        <v>383</v>
      </c>
      <c r="L65" s="579"/>
      <c r="M65" s="438" t="s">
        <v>14</v>
      </c>
      <c r="N65" s="438"/>
      <c r="O65" s="151"/>
      <c r="P65" s="521">
        <f>P66</f>
        <v>9724792.2800000012</v>
      </c>
      <c r="Q65" s="521"/>
      <c r="R65" s="521"/>
      <c r="S65" s="521">
        <f>S7</f>
        <v>8283151.3499999996</v>
      </c>
      <c r="T65" s="521"/>
      <c r="U65" s="521"/>
      <c r="V65" s="521">
        <f>V7</f>
        <v>8283499.04</v>
      </c>
      <c r="W65" s="521"/>
      <c r="X65" s="521"/>
      <c r="Y65" s="442"/>
      <c r="Z65" s="442"/>
      <c r="AA65" s="442"/>
      <c r="AB65" s="161"/>
      <c r="AC65" s="161"/>
      <c r="AD65" s="161"/>
      <c r="AE65" s="161"/>
    </row>
    <row r="66" spans="1:31" ht="15" customHeight="1" x14ac:dyDescent="0.3">
      <c r="A66" s="149"/>
      <c r="B66" s="126"/>
      <c r="C66" s="578" t="s">
        <v>380</v>
      </c>
      <c r="D66" s="578"/>
      <c r="E66" s="578"/>
      <c r="F66" s="578"/>
      <c r="G66" s="578"/>
      <c r="H66" s="578"/>
      <c r="I66" s="578"/>
      <c r="J66" s="578"/>
      <c r="K66" s="579" t="s">
        <v>384</v>
      </c>
      <c r="L66" s="579"/>
      <c r="M66" s="438" t="s">
        <v>482</v>
      </c>
      <c r="N66" s="438"/>
      <c r="O66" s="151"/>
      <c r="P66" s="521">
        <f>P7-P10</f>
        <v>9724792.2800000012</v>
      </c>
      <c r="Q66" s="521"/>
      <c r="R66" s="521"/>
      <c r="S66" s="521">
        <f>S10</f>
        <v>0</v>
      </c>
      <c r="T66" s="521"/>
      <c r="U66" s="521"/>
      <c r="V66" s="521"/>
      <c r="W66" s="521"/>
      <c r="X66" s="521"/>
      <c r="Y66" s="442"/>
      <c r="Z66" s="442"/>
      <c r="AA66" s="442"/>
      <c r="AB66" s="161"/>
      <c r="AC66" s="161"/>
      <c r="AD66" s="161"/>
      <c r="AE66" s="161"/>
    </row>
    <row r="67" spans="1:31" ht="15" customHeight="1" x14ac:dyDescent="0.3">
      <c r="A67" s="149"/>
      <c r="B67" s="126"/>
      <c r="C67" s="578" t="s">
        <v>380</v>
      </c>
      <c r="D67" s="578"/>
      <c r="E67" s="578"/>
      <c r="F67" s="578"/>
      <c r="G67" s="578"/>
      <c r="H67" s="578"/>
      <c r="I67" s="578"/>
      <c r="J67" s="578"/>
      <c r="K67" s="579" t="s">
        <v>487</v>
      </c>
      <c r="L67" s="579"/>
      <c r="M67" s="438" t="s">
        <v>484</v>
      </c>
      <c r="N67" s="438"/>
      <c r="O67" s="151"/>
      <c r="P67" s="521"/>
      <c r="Q67" s="521"/>
      <c r="R67" s="521"/>
      <c r="S67" s="521">
        <f>S65-S66</f>
        <v>8283151.3499999996</v>
      </c>
      <c r="T67" s="521"/>
      <c r="U67" s="521"/>
      <c r="V67" s="521">
        <f>V10</f>
        <v>0</v>
      </c>
      <c r="W67" s="521"/>
      <c r="X67" s="521"/>
      <c r="Y67" s="442"/>
      <c r="Z67" s="442"/>
      <c r="AA67" s="442"/>
      <c r="AB67" s="161"/>
      <c r="AC67" s="161"/>
      <c r="AD67" s="161"/>
      <c r="AE67" s="161"/>
    </row>
    <row r="68" spans="1:31" ht="15" customHeight="1" x14ac:dyDescent="0.3">
      <c r="A68" s="149"/>
      <c r="B68" s="126"/>
      <c r="C68" s="578" t="s">
        <v>380</v>
      </c>
      <c r="D68" s="578"/>
      <c r="E68" s="578"/>
      <c r="F68" s="578"/>
      <c r="G68" s="578"/>
      <c r="H68" s="578"/>
      <c r="I68" s="578"/>
      <c r="J68" s="578"/>
      <c r="K68" s="579" t="s">
        <v>488</v>
      </c>
      <c r="L68" s="579"/>
      <c r="M68" s="438" t="s">
        <v>486</v>
      </c>
      <c r="N68" s="438"/>
      <c r="O68" s="151"/>
      <c r="P68" s="521"/>
      <c r="Q68" s="521"/>
      <c r="R68" s="521"/>
      <c r="S68" s="521"/>
      <c r="T68" s="521"/>
      <c r="U68" s="521"/>
      <c r="V68" s="521">
        <f>V65-V66-V67</f>
        <v>8283499.04</v>
      </c>
      <c r="W68" s="521"/>
      <c r="X68" s="521"/>
      <c r="Y68" s="442"/>
      <c r="Z68" s="442"/>
      <c r="AA68" s="442"/>
    </row>
    <row r="69" spans="1:31" x14ac:dyDescent="0.2">
      <c r="A69" s="132"/>
      <c r="B69" s="132"/>
      <c r="C69" s="133"/>
      <c r="D69" s="133"/>
      <c r="E69" s="133"/>
      <c r="F69" s="133"/>
      <c r="G69" s="133"/>
      <c r="H69" s="133"/>
      <c r="I69" s="133"/>
      <c r="J69" s="133"/>
      <c r="K69" s="134"/>
      <c r="L69" s="134"/>
      <c r="M69" s="134"/>
      <c r="N69" s="134"/>
      <c r="O69" s="134"/>
      <c r="P69" s="135">
        <f t="shared" ref="P69:Z69" si="11">P7-P16-P19-P58-P10</f>
        <v>0</v>
      </c>
      <c r="Q69" s="135">
        <f t="shared" si="11"/>
        <v>0</v>
      </c>
      <c r="R69" s="135">
        <f t="shared" si="11"/>
        <v>0</v>
      </c>
      <c r="S69" s="135">
        <f t="shared" si="11"/>
        <v>0</v>
      </c>
      <c r="T69" s="135">
        <f t="shared" si="11"/>
        <v>0</v>
      </c>
      <c r="U69" s="135">
        <f t="shared" si="11"/>
        <v>0</v>
      </c>
      <c r="V69" s="135">
        <f>V7-V16-V19-V58-V10</f>
        <v>0</v>
      </c>
      <c r="W69" s="135">
        <f t="shared" si="11"/>
        <v>0</v>
      </c>
      <c r="X69" s="135">
        <f t="shared" si="11"/>
        <v>0</v>
      </c>
      <c r="Y69" s="135">
        <f t="shared" si="11"/>
        <v>0</v>
      </c>
      <c r="Z69" s="135">
        <f t="shared" si="11"/>
        <v>0</v>
      </c>
      <c r="AA69" s="136"/>
    </row>
    <row r="70" spans="1:31" ht="31.5" x14ac:dyDescent="0.25">
      <c r="A70" s="131"/>
      <c r="B70" s="131"/>
      <c r="C70" s="611"/>
      <c r="D70" s="611"/>
      <c r="E70" s="611"/>
      <c r="F70" s="611"/>
      <c r="G70" s="611"/>
      <c r="H70" s="611"/>
      <c r="I70" s="611"/>
      <c r="J70" s="611"/>
      <c r="K70" s="137"/>
      <c r="L70" s="137"/>
      <c r="M70" s="137"/>
      <c r="N70" s="137"/>
      <c r="O70" s="137" t="s">
        <v>547</v>
      </c>
      <c r="P70" s="138">
        <f t="shared" ref="P70:AA70" si="12">P7-P10-P65</f>
        <v>0</v>
      </c>
      <c r="Q70" s="138">
        <f t="shared" si="12"/>
        <v>0</v>
      </c>
      <c r="R70" s="138">
        <f t="shared" si="12"/>
        <v>0</v>
      </c>
      <c r="S70" s="138">
        <f t="shared" si="12"/>
        <v>0</v>
      </c>
      <c r="T70" s="138">
        <f t="shared" si="12"/>
        <v>0</v>
      </c>
      <c r="U70" s="138">
        <f t="shared" si="12"/>
        <v>0</v>
      </c>
      <c r="V70" s="138">
        <f t="shared" si="12"/>
        <v>0</v>
      </c>
      <c r="W70" s="138">
        <f t="shared" si="12"/>
        <v>0</v>
      </c>
      <c r="X70" s="138">
        <f t="shared" si="12"/>
        <v>0</v>
      </c>
      <c r="Y70" s="138">
        <f t="shared" si="12"/>
        <v>0</v>
      </c>
      <c r="Z70" s="138">
        <f t="shared" si="12"/>
        <v>0</v>
      </c>
      <c r="AA70" s="138">
        <f t="shared" si="12"/>
        <v>0</v>
      </c>
    </row>
    <row r="71" spans="1:31" s="121" customFormat="1" ht="15.75" x14ac:dyDescent="0.25">
      <c r="A71" s="131"/>
      <c r="B71" s="131"/>
      <c r="C71" s="137"/>
      <c r="D71" s="137"/>
      <c r="E71" s="137"/>
      <c r="F71" s="137"/>
      <c r="G71" s="137"/>
      <c r="H71" s="137"/>
      <c r="I71" s="137"/>
      <c r="J71" s="137"/>
      <c r="K71" s="137"/>
      <c r="L71" s="137"/>
      <c r="M71" s="137"/>
      <c r="N71" s="137"/>
      <c r="O71" s="137"/>
      <c r="P71" s="138"/>
      <c r="Q71" s="138"/>
      <c r="R71" s="138"/>
      <c r="S71" s="138"/>
      <c r="T71" s="138"/>
      <c r="U71" s="138"/>
      <c r="V71" s="138"/>
      <c r="W71" s="138"/>
      <c r="X71" s="138"/>
      <c r="Y71" s="138"/>
      <c r="Z71" s="138"/>
      <c r="AA71" s="138"/>
    </row>
    <row r="72" spans="1:31" ht="15.75" x14ac:dyDescent="0.25">
      <c r="C72" s="526"/>
      <c r="D72" s="526"/>
      <c r="E72" s="526"/>
      <c r="F72" s="526"/>
      <c r="G72" s="526"/>
      <c r="H72" s="526"/>
      <c r="I72" s="526"/>
      <c r="J72" s="526"/>
      <c r="K72" s="106"/>
      <c r="L72" s="106"/>
      <c r="M72" s="106"/>
      <c r="N72" s="106"/>
      <c r="O72" s="106"/>
      <c r="P72" s="106"/>
      <c r="Q72" s="50"/>
      <c r="R72" s="527"/>
      <c r="S72" s="527"/>
      <c r="T72" s="527"/>
      <c r="U72" s="527"/>
      <c r="V72" s="527"/>
      <c r="W72" s="108"/>
      <c r="X72" s="108"/>
      <c r="Y72" s="108"/>
      <c r="Z72" s="108"/>
      <c r="AA72" s="108"/>
    </row>
    <row r="73" spans="1:31" x14ac:dyDescent="0.2">
      <c r="H73" s="48"/>
      <c r="I73" s="48"/>
      <c r="J73" s="49"/>
      <c r="K73" s="49"/>
      <c r="L73" s="49"/>
      <c r="M73" s="49"/>
      <c r="N73" s="49"/>
      <c r="O73" s="49"/>
      <c r="P73" s="49"/>
    </row>
    <row r="74" spans="1:31" ht="15.75" x14ac:dyDescent="0.25">
      <c r="C74" s="526"/>
      <c r="D74" s="526"/>
      <c r="E74" s="526"/>
      <c r="F74" s="526"/>
      <c r="G74" s="526"/>
      <c r="H74" s="526"/>
      <c r="I74" s="109"/>
      <c r="J74" s="526"/>
      <c r="K74" s="526"/>
      <c r="L74" s="526"/>
      <c r="M74" s="526"/>
      <c r="N74" s="87"/>
      <c r="O74" s="87"/>
      <c r="P74" s="87"/>
      <c r="Q74" s="526"/>
      <c r="R74" s="526"/>
      <c r="S74" s="526"/>
      <c r="T74" s="526"/>
      <c r="U74" s="526"/>
      <c r="V74" s="526"/>
      <c r="W74" s="105"/>
      <c r="X74" s="105"/>
      <c r="Y74" s="105"/>
      <c r="Z74" s="105"/>
      <c r="AA74" s="105"/>
    </row>
    <row r="75" spans="1:31" ht="15" x14ac:dyDescent="0.2">
      <c r="J75" s="527"/>
      <c r="K75" s="527"/>
      <c r="L75" s="527"/>
      <c r="M75" s="527"/>
      <c r="N75" s="54"/>
      <c r="O75" s="54"/>
      <c r="P75" s="54"/>
      <c r="Q75" s="527"/>
      <c r="R75" s="527"/>
      <c r="S75" s="527"/>
      <c r="T75" s="527"/>
      <c r="U75" s="527"/>
      <c r="V75" s="527"/>
      <c r="W75" s="106"/>
      <c r="X75" s="106"/>
      <c r="Y75" s="106"/>
      <c r="Z75" s="106"/>
      <c r="AA75" s="106"/>
    </row>
    <row r="76" spans="1:31" ht="19.5" x14ac:dyDescent="0.3">
      <c r="C76" s="534" t="s">
        <v>548</v>
      </c>
      <c r="D76" s="534"/>
      <c r="E76" s="534" t="s">
        <v>549</v>
      </c>
      <c r="F76" s="534"/>
      <c r="G76" s="534"/>
      <c r="H76" s="534"/>
      <c r="I76" s="535" t="s">
        <v>7</v>
      </c>
      <c r="J76" s="535"/>
      <c r="K76" s="535"/>
    </row>
    <row r="77" spans="1:31" ht="13.5" thickBot="1" x14ac:dyDescent="0.25"/>
    <row r="78" spans="1:31" ht="19.5" x14ac:dyDescent="0.3">
      <c r="A78" s="86"/>
      <c r="B78" s="536" t="s">
        <v>385</v>
      </c>
      <c r="C78" s="537"/>
      <c r="D78" s="537"/>
      <c r="E78" s="537"/>
      <c r="F78" s="537"/>
      <c r="G78" s="537"/>
      <c r="H78" s="537"/>
      <c r="I78" s="537"/>
      <c r="J78" s="537"/>
      <c r="K78" s="537"/>
      <c r="L78" s="537"/>
      <c r="M78" s="537"/>
      <c r="N78" s="612"/>
      <c r="O78" s="110"/>
    </row>
    <row r="79" spans="1:31" ht="19.5" x14ac:dyDescent="0.3">
      <c r="A79" s="86"/>
      <c r="B79" s="538" t="s">
        <v>475</v>
      </c>
      <c r="C79" s="539"/>
      <c r="D79" s="539"/>
      <c r="E79" s="539"/>
      <c r="F79" s="539"/>
      <c r="G79" s="539"/>
      <c r="H79" s="539"/>
      <c r="I79" s="539"/>
      <c r="J79" s="539"/>
      <c r="K79" s="539"/>
      <c r="L79" s="539"/>
      <c r="M79" s="539"/>
      <c r="N79" s="540"/>
      <c r="O79" s="111"/>
    </row>
    <row r="80" spans="1:31" ht="15.75" x14ac:dyDescent="0.2">
      <c r="A80" s="50"/>
      <c r="B80" s="541" t="s">
        <v>386</v>
      </c>
      <c r="C80" s="533"/>
      <c r="D80" s="533"/>
      <c r="E80" s="533"/>
      <c r="F80" s="533"/>
      <c r="G80" s="533"/>
      <c r="H80" s="533"/>
      <c r="I80" s="533"/>
      <c r="J80" s="533"/>
      <c r="K80" s="533"/>
      <c r="L80" s="533"/>
      <c r="M80" s="533"/>
      <c r="N80" s="542"/>
      <c r="O80" s="52"/>
    </row>
    <row r="81" spans="1:27" ht="15.75" x14ac:dyDescent="0.25">
      <c r="A81" s="50"/>
      <c r="B81" s="613"/>
      <c r="C81" s="614"/>
      <c r="D81" s="614"/>
      <c r="E81" s="614"/>
      <c r="F81" s="52"/>
      <c r="G81" s="543" t="s">
        <v>474</v>
      </c>
      <c r="H81" s="543"/>
      <c r="I81" s="543"/>
      <c r="J81" s="543"/>
      <c r="K81" s="543"/>
      <c r="L81" s="543"/>
      <c r="M81" s="543"/>
      <c r="N81" s="544"/>
      <c r="O81" s="105"/>
    </row>
    <row r="82" spans="1:27" ht="15.75" x14ac:dyDescent="0.25">
      <c r="A82" s="50"/>
      <c r="B82" s="541" t="s">
        <v>159</v>
      </c>
      <c r="C82" s="533"/>
      <c r="D82" s="533"/>
      <c r="E82" s="533"/>
      <c r="F82" s="109"/>
      <c r="G82" s="533" t="s">
        <v>160</v>
      </c>
      <c r="H82" s="533"/>
      <c r="I82" s="533"/>
      <c r="J82" s="533"/>
      <c r="K82" s="533"/>
      <c r="L82" s="533"/>
      <c r="M82" s="533"/>
      <c r="N82" s="542"/>
      <c r="O82" s="52"/>
    </row>
    <row r="83" spans="1:27" ht="19.5" x14ac:dyDescent="0.3">
      <c r="A83" s="36"/>
      <c r="B83" s="615" t="s">
        <v>550</v>
      </c>
      <c r="C83" s="534"/>
      <c r="D83" s="534"/>
      <c r="E83" s="51"/>
      <c r="F83" s="531" t="s">
        <v>549</v>
      </c>
      <c r="G83" s="531"/>
      <c r="H83" s="531" t="s">
        <v>551</v>
      </c>
      <c r="I83" s="531"/>
      <c r="J83" s="531"/>
      <c r="N83" s="53"/>
    </row>
    <row r="84" spans="1:27" ht="13.5" thickBot="1" x14ac:dyDescent="0.25">
      <c r="B84" s="546"/>
      <c r="C84" s="547"/>
      <c r="D84" s="547"/>
      <c r="E84" s="547"/>
      <c r="F84" s="547"/>
      <c r="G84" s="547"/>
      <c r="H84" s="547"/>
      <c r="I84" s="547"/>
      <c r="J84" s="547"/>
      <c r="K84" s="547"/>
      <c r="L84" s="547"/>
      <c r="M84" s="547"/>
      <c r="N84" s="548"/>
      <c r="O84" s="39"/>
    </row>
    <row r="85" spans="1:27" x14ac:dyDescent="0.2">
      <c r="B85" s="39"/>
      <c r="C85" s="39"/>
      <c r="D85" s="39"/>
      <c r="E85" s="39"/>
      <c r="F85" s="39"/>
      <c r="G85" s="39"/>
      <c r="H85" s="39"/>
      <c r="I85" s="39"/>
      <c r="J85" s="39"/>
      <c r="K85" s="39"/>
      <c r="L85" s="39"/>
      <c r="M85" s="39"/>
      <c r="N85" s="39"/>
      <c r="O85" s="39"/>
    </row>
    <row r="86" spans="1:27" ht="18.75" customHeight="1" x14ac:dyDescent="0.2">
      <c r="A86" s="528" t="s">
        <v>398</v>
      </c>
      <c r="B86" s="528"/>
      <c r="C86" s="528"/>
      <c r="D86" s="528"/>
      <c r="E86" s="528"/>
      <c r="F86" s="528"/>
      <c r="G86" s="528"/>
      <c r="H86" s="528"/>
      <c r="I86" s="528"/>
      <c r="J86" s="528"/>
      <c r="K86" s="528"/>
      <c r="L86" s="528"/>
      <c r="M86" s="528"/>
      <c r="N86" s="528"/>
      <c r="O86" s="528"/>
      <c r="P86" s="528"/>
      <c r="Q86" s="528"/>
      <c r="R86" s="528"/>
      <c r="S86" s="528"/>
      <c r="T86" s="528"/>
      <c r="U86" s="528"/>
      <c r="V86" s="528"/>
      <c r="W86" s="528"/>
      <c r="X86" s="528"/>
      <c r="Y86" s="528"/>
      <c r="Z86" s="528"/>
      <c r="AA86" s="528"/>
    </row>
    <row r="87" spans="1:27" ht="57.75" customHeight="1" x14ac:dyDescent="0.2">
      <c r="A87" s="528" t="s">
        <v>387</v>
      </c>
      <c r="B87" s="528"/>
      <c r="C87" s="528"/>
      <c r="D87" s="528"/>
      <c r="E87" s="528"/>
      <c r="F87" s="528"/>
      <c r="G87" s="528"/>
      <c r="H87" s="528"/>
      <c r="I87" s="528"/>
      <c r="J87" s="528"/>
      <c r="K87" s="528"/>
      <c r="L87" s="528"/>
      <c r="M87" s="528"/>
      <c r="N87" s="528"/>
      <c r="O87" s="528"/>
      <c r="P87" s="528"/>
      <c r="Q87" s="528"/>
      <c r="R87" s="528"/>
      <c r="S87" s="528"/>
      <c r="T87" s="528"/>
      <c r="U87" s="528"/>
      <c r="V87" s="528"/>
      <c r="W87" s="528"/>
      <c r="X87" s="528"/>
      <c r="Y87" s="528"/>
      <c r="Z87" s="528"/>
      <c r="AA87" s="528"/>
    </row>
    <row r="88" spans="1:27" ht="42" customHeight="1" x14ac:dyDescent="0.2">
      <c r="A88" s="528" t="s">
        <v>388</v>
      </c>
      <c r="B88" s="528"/>
      <c r="C88" s="528"/>
      <c r="D88" s="528"/>
      <c r="E88" s="528"/>
      <c r="F88" s="528"/>
      <c r="G88" s="528"/>
      <c r="H88" s="528"/>
      <c r="I88" s="528"/>
      <c r="J88" s="528"/>
      <c r="K88" s="528"/>
      <c r="L88" s="528"/>
      <c r="M88" s="528"/>
      <c r="N88" s="528"/>
      <c r="O88" s="528"/>
      <c r="P88" s="528"/>
      <c r="Q88" s="528"/>
      <c r="R88" s="528"/>
      <c r="S88" s="528"/>
      <c r="T88" s="528"/>
      <c r="U88" s="528"/>
      <c r="V88" s="528"/>
      <c r="W88" s="528"/>
      <c r="X88" s="528"/>
      <c r="Y88" s="528"/>
      <c r="Z88" s="528"/>
      <c r="AA88" s="528"/>
    </row>
    <row r="89" spans="1:27" ht="31.5" customHeight="1" x14ac:dyDescent="0.2">
      <c r="A89" s="528" t="s">
        <v>389</v>
      </c>
      <c r="B89" s="528"/>
      <c r="C89" s="528"/>
      <c r="D89" s="528"/>
      <c r="E89" s="528"/>
      <c r="F89" s="528"/>
      <c r="G89" s="528"/>
      <c r="H89" s="528"/>
      <c r="I89" s="528"/>
      <c r="J89" s="528"/>
      <c r="K89" s="528"/>
      <c r="L89" s="528"/>
      <c r="M89" s="528"/>
      <c r="N89" s="528"/>
      <c r="O89" s="528"/>
      <c r="P89" s="528"/>
      <c r="Q89" s="528"/>
      <c r="R89" s="528"/>
      <c r="S89" s="528"/>
      <c r="T89" s="528"/>
      <c r="U89" s="528"/>
      <c r="V89" s="528"/>
      <c r="W89" s="528"/>
      <c r="X89" s="528"/>
      <c r="Y89" s="528"/>
      <c r="Z89" s="528"/>
      <c r="AA89" s="528"/>
    </row>
    <row r="90" spans="1:27" ht="32.25" customHeight="1" x14ac:dyDescent="0.2">
      <c r="A90" s="528" t="s">
        <v>390</v>
      </c>
      <c r="B90" s="528"/>
      <c r="C90" s="528"/>
      <c r="D90" s="528"/>
      <c r="E90" s="528"/>
      <c r="F90" s="528"/>
      <c r="G90" s="528"/>
      <c r="H90" s="528"/>
      <c r="I90" s="528"/>
      <c r="J90" s="528"/>
      <c r="K90" s="528"/>
      <c r="L90" s="528"/>
      <c r="M90" s="528"/>
      <c r="N90" s="528"/>
      <c r="O90" s="528"/>
      <c r="P90" s="528"/>
      <c r="Q90" s="528"/>
      <c r="R90" s="528"/>
      <c r="S90" s="528"/>
      <c r="T90" s="528"/>
      <c r="U90" s="528"/>
      <c r="V90" s="528"/>
      <c r="W90" s="528"/>
      <c r="X90" s="528"/>
      <c r="Y90" s="528"/>
      <c r="Z90" s="528"/>
      <c r="AA90" s="528"/>
    </row>
    <row r="91" spans="1:27" ht="33" customHeight="1" x14ac:dyDescent="0.2">
      <c r="A91" s="528" t="s">
        <v>391</v>
      </c>
      <c r="B91" s="528"/>
      <c r="C91" s="528"/>
      <c r="D91" s="528"/>
      <c r="E91" s="528"/>
      <c r="F91" s="528"/>
      <c r="G91" s="528"/>
      <c r="H91" s="528"/>
      <c r="I91" s="528"/>
      <c r="J91" s="528"/>
      <c r="K91" s="528"/>
      <c r="L91" s="528"/>
      <c r="M91" s="528"/>
      <c r="N91" s="528"/>
      <c r="O91" s="528"/>
      <c r="P91" s="528"/>
      <c r="Q91" s="528"/>
      <c r="R91" s="528"/>
      <c r="S91" s="528"/>
      <c r="T91" s="528"/>
      <c r="U91" s="528"/>
      <c r="V91" s="528"/>
      <c r="W91" s="528"/>
      <c r="X91" s="528"/>
      <c r="Y91" s="528"/>
      <c r="Z91" s="528"/>
      <c r="AA91" s="528"/>
    </row>
    <row r="92" spans="1:27" ht="33.75" customHeight="1" x14ac:dyDescent="0.2">
      <c r="A92" s="528" t="s">
        <v>392</v>
      </c>
      <c r="B92" s="528"/>
      <c r="C92" s="528"/>
      <c r="D92" s="528"/>
      <c r="E92" s="528"/>
      <c r="F92" s="528"/>
      <c r="G92" s="528"/>
      <c r="H92" s="528"/>
      <c r="I92" s="528"/>
      <c r="J92" s="528"/>
      <c r="K92" s="528"/>
      <c r="L92" s="528"/>
      <c r="M92" s="528"/>
      <c r="N92" s="528"/>
      <c r="O92" s="528"/>
      <c r="P92" s="528"/>
      <c r="Q92" s="528"/>
      <c r="R92" s="528"/>
      <c r="S92" s="528"/>
      <c r="T92" s="528"/>
      <c r="U92" s="528"/>
      <c r="V92" s="528"/>
      <c r="W92" s="528"/>
      <c r="X92" s="528"/>
      <c r="Y92" s="528"/>
      <c r="Z92" s="528"/>
      <c r="AA92" s="528"/>
    </row>
  </sheetData>
  <customSheetViews>
    <customSheetView guid="{DC13F25B-CAA7-4E25-AFF1-0DCF9AD75BDE}" scale="70" showPageBreaks="1" fitToPage="1" printArea="1" state="hidden" view="pageBreakPreview">
      <selection activeCell="P58" sqref="P58:R58"/>
      <rowBreaks count="2" manualBreakCount="2">
        <brk id="13" min="4" max="26" man="1"/>
        <brk id="29" min="4" max="26" man="1"/>
      </rowBreaks>
      <pageMargins left="0.39370078740157483" right="0.39370078740157483" top="1.1811023622047245" bottom="0.39370078740157483" header="0.19685039370078741" footer="0.19685039370078741"/>
      <printOptions horizontalCentered="1"/>
      <pageSetup paperSize="9" scale="44" firstPageNumber="22" fitToHeight="2" orientation="portrait" useFirstPageNumber="1" r:id="rId1"/>
      <headerFooter alignWithMargins="0"/>
    </customSheetView>
    <customSheetView guid="{6AD2622C-AF85-4997-AA93-A54C85AD6D68}" scale="115" showPageBreaks="1" printArea="1" view="pageBreakPreview" topLeftCell="C1">
      <selection activeCell="C7" sqref="C7:J7"/>
      <rowBreaks count="2" manualBreakCount="2">
        <brk id="13" max="25" man="1"/>
        <brk id="24" min="1" max="25" man="1"/>
      </rowBreaks>
      <pageMargins left="0.39370078740157483" right="0.39370078740157483" top="1.1811023622047245" bottom="0.39370078740157483" header="0.19685039370078741" footer="0.19685039370078741"/>
      <printOptions horizontalCentered="1"/>
      <pageSetup paperSize="9" scale="85" firstPageNumber="22" fitToHeight="3" orientation="landscape" useFirstPageNumber="1" r:id="rId2"/>
      <headerFooter alignWithMargins="0">
        <oddHeader>&amp;C&amp;"Times New Roman,обычный"&amp;12&amp;P</oddHeader>
      </headerFooter>
    </customSheetView>
    <customSheetView guid="{C88A4605-0F8D-4713-9317-AF13632C8FA6}" scale="115" showPageBreaks="1" printArea="1" view="pageBreakPreview" topLeftCell="C1">
      <selection activeCell="C7" sqref="C7:J7"/>
      <rowBreaks count="2" manualBreakCount="2">
        <brk id="13" max="25" man="1"/>
        <brk id="24" min="1" max="25" man="1"/>
      </rowBreaks>
      <pageMargins left="0.39370078740157483" right="0.39370078740157483" top="1.1811023622047245" bottom="0.39370078740157483" header="0.19685039370078741" footer="0.19685039370078741"/>
      <printOptions horizontalCentered="1"/>
      <pageSetup paperSize="9" scale="85" firstPageNumber="22" fitToHeight="3" orientation="landscape" useFirstPageNumber="1" r:id="rId3"/>
      <headerFooter alignWithMargins="0">
        <oddHeader>&amp;C&amp;"Times New Roman,обычный"&amp;12&amp;P</oddHeader>
      </headerFooter>
    </customSheetView>
    <customSheetView guid="{84CC8968-6D7C-41C4-B973-ECD381BB63FC}" scale="70" showPageBreaks="1" fitToPage="1" printArea="1" state="hidden" view="pageBreakPreview" topLeftCell="A29">
      <selection activeCell="P58" sqref="P58:R58"/>
      <rowBreaks count="2" manualBreakCount="2">
        <brk id="13" min="4" max="26" man="1"/>
        <brk id="29" min="4" max="26" man="1"/>
      </rowBreaks>
      <pageMargins left="0.39370078740157483" right="0.39370078740157483" top="1.1811023622047245" bottom="0.39370078740157483" header="0.19685039370078741" footer="0.19685039370078741"/>
      <printOptions horizontalCentered="1"/>
      <pageSetup paperSize="9" scale="44" firstPageNumber="22" fitToHeight="2" orientation="portrait" useFirstPageNumber="1" r:id="rId4"/>
      <headerFooter alignWithMargins="0"/>
    </customSheetView>
    <customSheetView guid="{C47F8591-E97A-4739-B299-8B7B5E22A2DD}" scale="70" showPageBreaks="1" fitToPage="1" printArea="1" state="hidden" view="pageBreakPreview">
      <selection activeCell="P58" sqref="P58:R58"/>
      <rowBreaks count="2" manualBreakCount="2">
        <brk id="13" min="4" max="26" man="1"/>
        <brk id="29" min="4" max="26" man="1"/>
      </rowBreaks>
      <pageMargins left="0.39370078740157483" right="0.39370078740157483" top="1.1811023622047245" bottom="0.39370078740157483" header="0.19685039370078741" footer="0.19685039370078741"/>
      <printOptions horizontalCentered="1"/>
      <pageSetup paperSize="9" scale="44" firstPageNumber="22" fitToHeight="2" orientation="portrait" useFirstPageNumber="1" r:id="rId5"/>
      <headerFooter alignWithMargins="0"/>
    </customSheetView>
  </customSheetViews>
  <mergeCells count="448">
    <mergeCell ref="A86:AA86"/>
    <mergeCell ref="A87:AA87"/>
    <mergeCell ref="A88:AA88"/>
    <mergeCell ref="A89:AA89"/>
    <mergeCell ref="A90:AA90"/>
    <mergeCell ref="A91:AA91"/>
    <mergeCell ref="A92:AA92"/>
    <mergeCell ref="B84:N84"/>
    <mergeCell ref="B78:N78"/>
    <mergeCell ref="B79:N79"/>
    <mergeCell ref="B80:N80"/>
    <mergeCell ref="B81:E81"/>
    <mergeCell ref="G81:N81"/>
    <mergeCell ref="B82:E82"/>
    <mergeCell ref="G82:N82"/>
    <mergeCell ref="B83:D83"/>
    <mergeCell ref="F83:G83"/>
    <mergeCell ref="H83:J83"/>
    <mergeCell ref="C70:J70"/>
    <mergeCell ref="C72:J72"/>
    <mergeCell ref="R72:V72"/>
    <mergeCell ref="C74:H74"/>
    <mergeCell ref="J74:M74"/>
    <mergeCell ref="Q74:V74"/>
    <mergeCell ref="J75:M75"/>
    <mergeCell ref="Q75:V75"/>
    <mergeCell ref="C76:D76"/>
    <mergeCell ref="E76:H76"/>
    <mergeCell ref="I76:K76"/>
    <mergeCell ref="C67:J67"/>
    <mergeCell ref="K67:L67"/>
    <mergeCell ref="M67:N67"/>
    <mergeCell ref="P67:R67"/>
    <mergeCell ref="S67:U67"/>
    <mergeCell ref="V67:X67"/>
    <mergeCell ref="Y67:AA67"/>
    <mergeCell ref="C68:J68"/>
    <mergeCell ref="K68:L68"/>
    <mergeCell ref="M68:N68"/>
    <mergeCell ref="P68:R68"/>
    <mergeCell ref="S68:U68"/>
    <mergeCell ref="V68:X68"/>
    <mergeCell ref="Y68:AA68"/>
    <mergeCell ref="C65:J65"/>
    <mergeCell ref="K65:L65"/>
    <mergeCell ref="M65:N65"/>
    <mergeCell ref="P65:R65"/>
    <mergeCell ref="S65:U65"/>
    <mergeCell ref="V65:X65"/>
    <mergeCell ref="Y65:AA65"/>
    <mergeCell ref="C66:J66"/>
    <mergeCell ref="K66:L66"/>
    <mergeCell ref="M66:N66"/>
    <mergeCell ref="P66:R66"/>
    <mergeCell ref="S66:U66"/>
    <mergeCell ref="V66:X66"/>
    <mergeCell ref="Y66:AA66"/>
    <mergeCell ref="C63:J63"/>
    <mergeCell ref="K63:L63"/>
    <mergeCell ref="M63:N63"/>
    <mergeCell ref="P63:R63"/>
    <mergeCell ref="S63:U63"/>
    <mergeCell ref="V63:X63"/>
    <mergeCell ref="Y63:AA63"/>
    <mergeCell ref="AC63:AE63"/>
    <mergeCell ref="C64:J64"/>
    <mergeCell ref="K64:L64"/>
    <mergeCell ref="M64:N64"/>
    <mergeCell ref="P64:R64"/>
    <mergeCell ref="S64:U64"/>
    <mergeCell ref="V64:X64"/>
    <mergeCell ref="Y64:AA64"/>
    <mergeCell ref="C61:J61"/>
    <mergeCell ref="K61:L61"/>
    <mergeCell ref="M61:N61"/>
    <mergeCell ref="P61:R61"/>
    <mergeCell ref="S61:U61"/>
    <mergeCell ref="V61:X61"/>
    <mergeCell ref="Y61:AA61"/>
    <mergeCell ref="C62:J62"/>
    <mergeCell ref="K62:L62"/>
    <mergeCell ref="M62:N62"/>
    <mergeCell ref="P62:R62"/>
    <mergeCell ref="S62:U62"/>
    <mergeCell ref="V62:X62"/>
    <mergeCell ref="Y62:AA62"/>
    <mergeCell ref="C60:J60"/>
    <mergeCell ref="K60:L60"/>
    <mergeCell ref="M60:N60"/>
    <mergeCell ref="P60:R60"/>
    <mergeCell ref="S60:U60"/>
    <mergeCell ref="V60:X60"/>
    <mergeCell ref="Y60:AA60"/>
    <mergeCell ref="C58:J58"/>
    <mergeCell ref="K58:L58"/>
    <mergeCell ref="M58:N58"/>
    <mergeCell ref="P58:R58"/>
    <mergeCell ref="S58:U58"/>
    <mergeCell ref="V58:X58"/>
    <mergeCell ref="Y58:AA58"/>
    <mergeCell ref="C59:J59"/>
    <mergeCell ref="K59:L59"/>
    <mergeCell ref="M59:N59"/>
    <mergeCell ref="P59:R59"/>
    <mergeCell ref="S59:U59"/>
    <mergeCell ref="V59:X59"/>
    <mergeCell ref="Y59:AA59"/>
    <mergeCell ref="K56:L56"/>
    <mergeCell ref="M56:N56"/>
    <mergeCell ref="P56:R56"/>
    <mergeCell ref="S56:U56"/>
    <mergeCell ref="V56:X56"/>
    <mergeCell ref="Y56:AA56"/>
    <mergeCell ref="K57:L57"/>
    <mergeCell ref="M57:N57"/>
    <mergeCell ref="P57:R57"/>
    <mergeCell ref="S57:U57"/>
    <mergeCell ref="V57:X57"/>
    <mergeCell ref="Y57:AA57"/>
    <mergeCell ref="K54:L54"/>
    <mergeCell ref="M54:N54"/>
    <mergeCell ref="P54:R54"/>
    <mergeCell ref="S54:U54"/>
    <mergeCell ref="V54:X54"/>
    <mergeCell ref="Y54:AA54"/>
    <mergeCell ref="K55:L55"/>
    <mergeCell ref="M55:N55"/>
    <mergeCell ref="P55:R55"/>
    <mergeCell ref="S55:U55"/>
    <mergeCell ref="V55:X55"/>
    <mergeCell ref="Y55:AA55"/>
    <mergeCell ref="C52:J52"/>
    <mergeCell ref="K52:L52"/>
    <mergeCell ref="M52:N52"/>
    <mergeCell ref="P52:R52"/>
    <mergeCell ref="S52:U52"/>
    <mergeCell ref="V52:X52"/>
    <mergeCell ref="Y52:AA52"/>
    <mergeCell ref="K53:L53"/>
    <mergeCell ref="M53:N53"/>
    <mergeCell ref="P53:R53"/>
    <mergeCell ref="S53:U53"/>
    <mergeCell ref="V53:X53"/>
    <mergeCell ref="Y53:AA53"/>
    <mergeCell ref="C50:J50"/>
    <mergeCell ref="K50:L50"/>
    <mergeCell ref="M50:N50"/>
    <mergeCell ref="P50:R50"/>
    <mergeCell ref="S50:U50"/>
    <mergeCell ref="V50:X50"/>
    <mergeCell ref="Y50:AA50"/>
    <mergeCell ref="C51:J51"/>
    <mergeCell ref="K51:L51"/>
    <mergeCell ref="M51:N51"/>
    <mergeCell ref="P51:R51"/>
    <mergeCell ref="S51:U51"/>
    <mergeCell ref="V51:X51"/>
    <mergeCell ref="Y51:AA51"/>
    <mergeCell ref="K49:L49"/>
    <mergeCell ref="M49:N49"/>
    <mergeCell ref="P49:R49"/>
    <mergeCell ref="S49:U49"/>
    <mergeCell ref="V49:X49"/>
    <mergeCell ref="Y49:AA49"/>
    <mergeCell ref="K47:L47"/>
    <mergeCell ref="M47:N47"/>
    <mergeCell ref="P47:R47"/>
    <mergeCell ref="S47:U47"/>
    <mergeCell ref="V47:X47"/>
    <mergeCell ref="Y47:AA47"/>
    <mergeCell ref="K48:L48"/>
    <mergeCell ref="M48:N48"/>
    <mergeCell ref="P48:R48"/>
    <mergeCell ref="S48:U48"/>
    <mergeCell ref="V48:X48"/>
    <mergeCell ref="Y48:AA48"/>
    <mergeCell ref="K45:L45"/>
    <mergeCell ref="M45:N45"/>
    <mergeCell ref="P45:R45"/>
    <mergeCell ref="S45:U45"/>
    <mergeCell ref="V45:X45"/>
    <mergeCell ref="Y45:AA45"/>
    <mergeCell ref="K46:L46"/>
    <mergeCell ref="M46:N46"/>
    <mergeCell ref="P46:R46"/>
    <mergeCell ref="S46:U46"/>
    <mergeCell ref="V46:X46"/>
    <mergeCell ref="Y46:AA46"/>
    <mergeCell ref="K43:L43"/>
    <mergeCell ref="M43:N43"/>
    <mergeCell ref="P43:R43"/>
    <mergeCell ref="S43:U43"/>
    <mergeCell ref="V43:X43"/>
    <mergeCell ref="Y43:AA43"/>
    <mergeCell ref="K44:L44"/>
    <mergeCell ref="M44:N44"/>
    <mergeCell ref="P44:R44"/>
    <mergeCell ref="S44:U44"/>
    <mergeCell ref="V44:X44"/>
    <mergeCell ref="Y44:AA44"/>
    <mergeCell ref="C41:J41"/>
    <mergeCell ref="K41:L41"/>
    <mergeCell ref="M41:N41"/>
    <mergeCell ref="P41:R41"/>
    <mergeCell ref="S41:U41"/>
    <mergeCell ref="V41:X41"/>
    <mergeCell ref="Y41:AA41"/>
    <mergeCell ref="C42:J42"/>
    <mergeCell ref="K42:L42"/>
    <mergeCell ref="M42:N42"/>
    <mergeCell ref="P42:R42"/>
    <mergeCell ref="S42:U42"/>
    <mergeCell ref="V42:X42"/>
    <mergeCell ref="Y42:AA42"/>
    <mergeCell ref="C39:J39"/>
    <mergeCell ref="K39:L39"/>
    <mergeCell ref="M39:N39"/>
    <mergeCell ref="P39:R39"/>
    <mergeCell ref="S39:U39"/>
    <mergeCell ref="V39:X39"/>
    <mergeCell ref="Y39:AA39"/>
    <mergeCell ref="C40:J40"/>
    <mergeCell ref="K40:L40"/>
    <mergeCell ref="M40:N40"/>
    <mergeCell ref="P40:R40"/>
    <mergeCell ref="S40:U40"/>
    <mergeCell ref="V40:X40"/>
    <mergeCell ref="Y40:AA40"/>
    <mergeCell ref="P37:R37"/>
    <mergeCell ref="S37:U37"/>
    <mergeCell ref="V37:X37"/>
    <mergeCell ref="Y37:AA37"/>
    <mergeCell ref="C38:J38"/>
    <mergeCell ref="K38:L38"/>
    <mergeCell ref="M38:N38"/>
    <mergeCell ref="P38:R38"/>
    <mergeCell ref="S38:U38"/>
    <mergeCell ref="V38:X38"/>
    <mergeCell ref="Y38:AA38"/>
    <mergeCell ref="C37:J37"/>
    <mergeCell ref="K37:L37"/>
    <mergeCell ref="M37:N37"/>
    <mergeCell ref="P35:R35"/>
    <mergeCell ref="S35:U35"/>
    <mergeCell ref="V35:X35"/>
    <mergeCell ref="Y35:AA35"/>
    <mergeCell ref="C36:J36"/>
    <mergeCell ref="K36:L36"/>
    <mergeCell ref="M36:N36"/>
    <mergeCell ref="P36:R36"/>
    <mergeCell ref="S36:U36"/>
    <mergeCell ref="V36:X36"/>
    <mergeCell ref="Y36:AA36"/>
    <mergeCell ref="C35:J35"/>
    <mergeCell ref="K35:L35"/>
    <mergeCell ref="M35:N35"/>
    <mergeCell ref="P34:R34"/>
    <mergeCell ref="S34:U34"/>
    <mergeCell ref="V34:X34"/>
    <mergeCell ref="Y34:AA34"/>
    <mergeCell ref="K34:L34"/>
    <mergeCell ref="K32:L32"/>
    <mergeCell ref="P32:R32"/>
    <mergeCell ref="S32:U32"/>
    <mergeCell ref="V32:X32"/>
    <mergeCell ref="Y32:AA32"/>
    <mergeCell ref="K33:L33"/>
    <mergeCell ref="P33:R33"/>
    <mergeCell ref="S33:U33"/>
    <mergeCell ref="V33:X33"/>
    <mergeCell ref="Y33:AA33"/>
    <mergeCell ref="K30:L30"/>
    <mergeCell ref="P30:R30"/>
    <mergeCell ref="S30:U30"/>
    <mergeCell ref="V30:X30"/>
    <mergeCell ref="Y30:AA30"/>
    <mergeCell ref="K31:L31"/>
    <mergeCell ref="P31:R31"/>
    <mergeCell ref="S31:U31"/>
    <mergeCell ref="V31:X31"/>
    <mergeCell ref="Y31:AA31"/>
    <mergeCell ref="Y21:AA21"/>
    <mergeCell ref="P26:R26"/>
    <mergeCell ref="S26:U26"/>
    <mergeCell ref="V26:X26"/>
    <mergeCell ref="Y26:AA26"/>
    <mergeCell ref="P27:R27"/>
    <mergeCell ref="S27:U27"/>
    <mergeCell ref="V27:X27"/>
    <mergeCell ref="Y27:AA27"/>
    <mergeCell ref="S17:U17"/>
    <mergeCell ref="V17:X17"/>
    <mergeCell ref="Y17:AA17"/>
    <mergeCell ref="P18:R18"/>
    <mergeCell ref="S18:U18"/>
    <mergeCell ref="V18:X18"/>
    <mergeCell ref="Y18:AA18"/>
    <mergeCell ref="Y19:AA19"/>
    <mergeCell ref="P20:R20"/>
    <mergeCell ref="S20:U20"/>
    <mergeCell ref="V20:X20"/>
    <mergeCell ref="Y20:AA20"/>
    <mergeCell ref="V10:X10"/>
    <mergeCell ref="Y10:AA10"/>
    <mergeCell ref="P11:R11"/>
    <mergeCell ref="S11:U11"/>
    <mergeCell ref="V11:X11"/>
    <mergeCell ref="Y11:AA11"/>
    <mergeCell ref="P12:R12"/>
    <mergeCell ref="S12:U12"/>
    <mergeCell ref="V12:X12"/>
    <mergeCell ref="Y12:AA12"/>
    <mergeCell ref="P6:R6"/>
    <mergeCell ref="S6:U6"/>
    <mergeCell ref="V6:X6"/>
    <mergeCell ref="Y6:AA6"/>
    <mergeCell ref="P7:R7"/>
    <mergeCell ref="S7:U7"/>
    <mergeCell ref="V7:X7"/>
    <mergeCell ref="Y7:AA7"/>
    <mergeCell ref="P8:R8"/>
    <mergeCell ref="S8:U8"/>
    <mergeCell ref="V8:X8"/>
    <mergeCell ref="Y8:AA8"/>
    <mergeCell ref="A1:AA1"/>
    <mergeCell ref="O3:O5"/>
    <mergeCell ref="P3:AA3"/>
    <mergeCell ref="P4:R4"/>
    <mergeCell ref="S4:U4"/>
    <mergeCell ref="V4:X4"/>
    <mergeCell ref="Y4:AA5"/>
    <mergeCell ref="P5:R5"/>
    <mergeCell ref="S5:U5"/>
    <mergeCell ref="V5:X5"/>
    <mergeCell ref="A3:B5"/>
    <mergeCell ref="C11:J11"/>
    <mergeCell ref="K11:L11"/>
    <mergeCell ref="M11:N11"/>
    <mergeCell ref="A6:B6"/>
    <mergeCell ref="C3:J5"/>
    <mergeCell ref="K3:L5"/>
    <mergeCell ref="M3:N5"/>
    <mergeCell ref="C10:J10"/>
    <mergeCell ref="M7:N7"/>
    <mergeCell ref="C6:J6"/>
    <mergeCell ref="K6:L6"/>
    <mergeCell ref="M6:N6"/>
    <mergeCell ref="C7:J7"/>
    <mergeCell ref="C8:J8"/>
    <mergeCell ref="C9:J9"/>
    <mergeCell ref="K7:L7"/>
    <mergeCell ref="K8:L8"/>
    <mergeCell ref="K9:L9"/>
    <mergeCell ref="K10:L10"/>
    <mergeCell ref="M8:N8"/>
    <mergeCell ref="M9:N9"/>
    <mergeCell ref="Y9:AA9"/>
    <mergeCell ref="P10:R10"/>
    <mergeCell ref="S10:U10"/>
    <mergeCell ref="C14:J14"/>
    <mergeCell ref="K14:L14"/>
    <mergeCell ref="M14:N14"/>
    <mergeCell ref="C13:J13"/>
    <mergeCell ref="K13:L13"/>
    <mergeCell ref="M13:N13"/>
    <mergeCell ref="P13:R13"/>
    <mergeCell ref="S13:U13"/>
    <mergeCell ref="V13:X13"/>
    <mergeCell ref="Y13:AA13"/>
    <mergeCell ref="P14:R14"/>
    <mergeCell ref="S14:U14"/>
    <mergeCell ref="V14:X14"/>
    <mergeCell ref="Y14:AA14"/>
    <mergeCell ref="P9:R9"/>
    <mergeCell ref="S9:U9"/>
    <mergeCell ref="V9:X9"/>
    <mergeCell ref="C12:J12"/>
    <mergeCell ref="K12:L12"/>
    <mergeCell ref="M12:N12"/>
    <mergeCell ref="M10:N10"/>
    <mergeCell ref="V15:X15"/>
    <mergeCell ref="Y15:AA15"/>
    <mergeCell ref="P16:R16"/>
    <mergeCell ref="C18:J18"/>
    <mergeCell ref="K18:L18"/>
    <mergeCell ref="M18:N18"/>
    <mergeCell ref="C17:J17"/>
    <mergeCell ref="K17:L17"/>
    <mergeCell ref="C19:J19"/>
    <mergeCell ref="K19:L19"/>
    <mergeCell ref="M19:N19"/>
    <mergeCell ref="C15:J15"/>
    <mergeCell ref="K15:L15"/>
    <mergeCell ref="M15:N15"/>
    <mergeCell ref="M17:N17"/>
    <mergeCell ref="C16:J16"/>
    <mergeCell ref="K16:L16"/>
    <mergeCell ref="M16:N16"/>
    <mergeCell ref="P15:R15"/>
    <mergeCell ref="S15:U15"/>
    <mergeCell ref="S16:U16"/>
    <mergeCell ref="V16:X16"/>
    <mergeCell ref="Y16:AA16"/>
    <mergeCell ref="P17:R17"/>
    <mergeCell ref="C20:J20"/>
    <mergeCell ref="K20:L20"/>
    <mergeCell ref="M20:N20"/>
    <mergeCell ref="C21:J21"/>
    <mergeCell ref="K21:L21"/>
    <mergeCell ref="M21:N21"/>
    <mergeCell ref="P19:R19"/>
    <mergeCell ref="S19:U19"/>
    <mergeCell ref="V19:X19"/>
    <mergeCell ref="P21:R21"/>
    <mergeCell ref="S21:U21"/>
    <mergeCell ref="V21:X21"/>
    <mergeCell ref="K22:L22"/>
    <mergeCell ref="K23:L23"/>
    <mergeCell ref="P22:R22"/>
    <mergeCell ref="S22:U22"/>
    <mergeCell ref="V22:X22"/>
    <mergeCell ref="Y22:AA22"/>
    <mergeCell ref="P23:R23"/>
    <mergeCell ref="S23:U23"/>
    <mergeCell ref="V23:X23"/>
    <mergeCell ref="Y23:AA23"/>
    <mergeCell ref="K29:L29"/>
    <mergeCell ref="P29:R29"/>
    <mergeCell ref="S29:U29"/>
    <mergeCell ref="V29:X29"/>
    <mergeCell ref="Y29:AA29"/>
    <mergeCell ref="K26:L26"/>
    <mergeCell ref="K27:L27"/>
    <mergeCell ref="K28:L28"/>
    <mergeCell ref="K24:L24"/>
    <mergeCell ref="K25:L25"/>
    <mergeCell ref="P24:R24"/>
    <mergeCell ref="S24:U24"/>
    <mergeCell ref="V24:X24"/>
    <mergeCell ref="Y24:AA24"/>
    <mergeCell ref="P25:R25"/>
    <mergeCell ref="S25:U25"/>
    <mergeCell ref="V25:X25"/>
    <mergeCell ref="Y25:AA25"/>
    <mergeCell ref="P28:R28"/>
    <mergeCell ref="S28:U28"/>
    <mergeCell ref="V28:X28"/>
    <mergeCell ref="Y28:AA28"/>
  </mergeCells>
  <printOptions horizontalCentered="1"/>
  <pageMargins left="0.39370078740157483" right="0.39370078740157483" top="1.1811023622047245" bottom="0.39370078740157483" header="0.19685039370078741" footer="0.19685039370078741"/>
  <pageSetup paperSize="9" scale="44" firstPageNumber="22" fitToHeight="2" orientation="portrait" useFirstPageNumber="1" r:id="rId6"/>
  <headerFooter alignWithMargins="0"/>
  <rowBreaks count="2" manualBreakCount="2">
    <brk id="13" min="4" max="26" man="1"/>
    <brk id="29" min="4" max="26"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view="pageBreakPreview" zoomScale="120" zoomScaleSheetLayoutView="120" workbookViewId="0">
      <selection activeCell="I7" sqref="I7"/>
    </sheetView>
  </sheetViews>
  <sheetFormatPr defaultRowHeight="12.75" x14ac:dyDescent="0.2"/>
  <cols>
    <col min="1" max="1" width="28.5703125" customWidth="1"/>
    <col min="2" max="2" width="5.85546875" customWidth="1"/>
    <col min="4" max="4" width="13.28515625" customWidth="1"/>
    <col min="5" max="5" width="11.28515625" customWidth="1"/>
    <col min="7" max="7" width="11.28515625" bestFit="1" customWidth="1"/>
    <col min="8" max="8" width="11.140625" bestFit="1" customWidth="1"/>
    <col min="10" max="10" width="11.28515625" bestFit="1" customWidth="1"/>
    <col min="11" max="11" width="11.140625" bestFit="1" customWidth="1"/>
    <col min="13" max="13" width="5.28515625" customWidth="1"/>
  </cols>
  <sheetData>
    <row r="1" spans="1:13" ht="31.5" customHeight="1" x14ac:dyDescent="0.2">
      <c r="A1" s="664" t="s">
        <v>15</v>
      </c>
      <c r="B1" s="665"/>
      <c r="C1" s="665"/>
      <c r="D1" s="665"/>
      <c r="E1" s="665"/>
      <c r="F1" s="665"/>
      <c r="G1" s="665"/>
      <c r="H1" s="665"/>
      <c r="I1" s="665"/>
      <c r="J1" s="665"/>
      <c r="K1" s="666"/>
    </row>
    <row r="2" spans="1:13" ht="24" customHeight="1" x14ac:dyDescent="0.2">
      <c r="A2" s="667" t="s">
        <v>1</v>
      </c>
      <c r="B2" s="670" t="s">
        <v>2</v>
      </c>
      <c r="C2" s="696" t="s">
        <v>16</v>
      </c>
      <c r="D2" s="696"/>
      <c r="E2" s="696"/>
      <c r="F2" s="696" t="s">
        <v>17</v>
      </c>
      <c r="G2" s="696"/>
      <c r="H2" s="696"/>
      <c r="I2" s="692" t="s">
        <v>18</v>
      </c>
      <c r="J2" s="693"/>
      <c r="K2" s="694"/>
    </row>
    <row r="3" spans="1:13" ht="21" customHeight="1" x14ac:dyDescent="0.2">
      <c r="A3" s="668"/>
      <c r="B3" s="671"/>
      <c r="C3" s="272" t="s">
        <v>477</v>
      </c>
      <c r="D3" s="272" t="s">
        <v>552</v>
      </c>
      <c r="E3" s="272" t="s">
        <v>579</v>
      </c>
      <c r="F3" s="272" t="s">
        <v>477</v>
      </c>
      <c r="G3" s="272" t="s">
        <v>552</v>
      </c>
      <c r="H3" s="272" t="s">
        <v>579</v>
      </c>
      <c r="I3" s="272" t="s">
        <v>477</v>
      </c>
      <c r="J3" s="272" t="s">
        <v>552</v>
      </c>
      <c r="K3" s="272" t="s">
        <v>579</v>
      </c>
    </row>
    <row r="4" spans="1:13" ht="42" customHeight="1" x14ac:dyDescent="0.2">
      <c r="A4" s="669"/>
      <c r="B4" s="672"/>
      <c r="C4" s="3" t="s">
        <v>3</v>
      </c>
      <c r="D4" s="3" t="s">
        <v>4</v>
      </c>
      <c r="E4" s="3" t="s">
        <v>5</v>
      </c>
      <c r="F4" s="3" t="s">
        <v>3</v>
      </c>
      <c r="G4" s="3" t="s">
        <v>4</v>
      </c>
      <c r="H4" s="3" t="s">
        <v>5</v>
      </c>
      <c r="I4" s="3" t="s">
        <v>3</v>
      </c>
      <c r="J4" s="3" t="s">
        <v>4</v>
      </c>
      <c r="K4" s="3" t="s">
        <v>5</v>
      </c>
    </row>
    <row r="5" spans="1:13" x14ac:dyDescent="0.2">
      <c r="A5" s="279">
        <v>1</v>
      </c>
      <c r="B5" s="279">
        <v>2</v>
      </c>
      <c r="C5" s="279">
        <v>3</v>
      </c>
      <c r="D5" s="279">
        <v>4</v>
      </c>
      <c r="E5" s="279">
        <v>5</v>
      </c>
      <c r="F5" s="279">
        <v>6</v>
      </c>
      <c r="G5" s="279">
        <v>7</v>
      </c>
      <c r="H5" s="279">
        <v>8</v>
      </c>
      <c r="I5" s="279">
        <v>9</v>
      </c>
      <c r="J5" s="279">
        <v>10</v>
      </c>
      <c r="K5" s="279">
        <v>11</v>
      </c>
    </row>
    <row r="6" spans="1:13" ht="51" customHeight="1" x14ac:dyDescent="0.2">
      <c r="A6" s="60" t="s">
        <v>586</v>
      </c>
      <c r="B6" s="4" t="s">
        <v>10</v>
      </c>
      <c r="C6" s="62">
        <f>I6/F6</f>
        <v>900.90090090090098</v>
      </c>
      <c r="D6" s="62">
        <f>C6</f>
        <v>900.90090090090098</v>
      </c>
      <c r="E6" s="62">
        <f>D6</f>
        <v>900.90090090090098</v>
      </c>
      <c r="F6" s="62">
        <v>5.55</v>
      </c>
      <c r="G6" s="62">
        <v>5.55</v>
      </c>
      <c r="H6" s="62">
        <v>5.55</v>
      </c>
      <c r="I6" s="226">
        <v>5000</v>
      </c>
      <c r="J6" s="226">
        <v>0</v>
      </c>
      <c r="K6" s="226">
        <v>0</v>
      </c>
    </row>
    <row r="7" spans="1:13" x14ac:dyDescent="0.2">
      <c r="A7" s="2"/>
      <c r="B7" s="4" t="s">
        <v>11</v>
      </c>
      <c r="C7" s="62">
        <f>I7/F7</f>
        <v>0</v>
      </c>
      <c r="D7" s="62">
        <f>C7</f>
        <v>0</v>
      </c>
      <c r="E7" s="62">
        <f>D7</f>
        <v>0</v>
      </c>
      <c r="F7" s="2">
        <v>1</v>
      </c>
      <c r="G7" s="2">
        <v>1</v>
      </c>
      <c r="H7" s="2">
        <v>1</v>
      </c>
      <c r="I7" s="225"/>
      <c r="J7" s="225"/>
      <c r="K7" s="62"/>
    </row>
    <row r="8" spans="1:13" x14ac:dyDescent="0.2">
      <c r="A8" s="2"/>
      <c r="B8" s="4" t="s">
        <v>12</v>
      </c>
      <c r="C8" s="2"/>
      <c r="D8" s="2"/>
      <c r="E8" s="2"/>
      <c r="F8" s="2"/>
      <c r="G8" s="2"/>
      <c r="H8" s="2"/>
      <c r="I8" s="2"/>
      <c r="J8" s="2"/>
      <c r="K8" s="2"/>
    </row>
    <row r="9" spans="1:13" x14ac:dyDescent="0.2">
      <c r="A9" s="2"/>
      <c r="B9" s="4" t="s">
        <v>22</v>
      </c>
      <c r="C9" s="2"/>
      <c r="D9" s="2"/>
      <c r="E9" s="2"/>
      <c r="F9" s="2"/>
      <c r="G9" s="2"/>
      <c r="H9" s="2"/>
      <c r="I9" s="2"/>
      <c r="J9" s="2"/>
      <c r="K9" s="2"/>
    </row>
    <row r="10" spans="1:13" x14ac:dyDescent="0.2">
      <c r="A10" s="2"/>
      <c r="B10" s="4" t="s">
        <v>23</v>
      </c>
      <c r="C10" s="2"/>
      <c r="D10" s="2"/>
      <c r="E10" s="2"/>
      <c r="F10" s="2"/>
      <c r="G10" s="2"/>
      <c r="H10" s="2"/>
      <c r="I10" s="2"/>
      <c r="J10" s="2"/>
      <c r="K10" s="2"/>
    </row>
    <row r="11" spans="1:13" x14ac:dyDescent="0.2">
      <c r="A11" s="2" t="s">
        <v>13</v>
      </c>
      <c r="B11" s="2"/>
      <c r="C11" s="2" t="s">
        <v>14</v>
      </c>
      <c r="D11" s="2" t="s">
        <v>14</v>
      </c>
      <c r="E11" s="2" t="s">
        <v>14</v>
      </c>
      <c r="F11" s="2" t="s">
        <v>14</v>
      </c>
      <c r="G11" s="2" t="s">
        <v>14</v>
      </c>
      <c r="H11" s="2" t="s">
        <v>14</v>
      </c>
      <c r="I11" s="62">
        <f>SUM(I6:I10)</f>
        <v>5000</v>
      </c>
      <c r="J11" s="62">
        <f>SUM(J6:J10)</f>
        <v>0</v>
      </c>
      <c r="K11" s="62">
        <f>SUM(K6:K10)</f>
        <v>0</v>
      </c>
      <c r="L11" s="61"/>
      <c r="M11" s="61"/>
    </row>
    <row r="12" spans="1:13" x14ac:dyDescent="0.2">
      <c r="I12" s="61">
        <v>5000</v>
      </c>
    </row>
    <row r="13" spans="1:13" x14ac:dyDescent="0.2">
      <c r="I13" s="61">
        <f>I12-I11</f>
        <v>0</v>
      </c>
    </row>
  </sheetData>
  <customSheetViews>
    <customSheetView guid="{DC13F25B-CAA7-4E25-AFF1-0DCF9AD75BDE}" scale="120" showPageBreaks="1" fitToPage="1" printArea="1" view="pageBreakPreview" topLeftCell="B1">
      <selection activeCell="K7" sqref="K7"/>
      <pageMargins left="0.70866141732283472" right="0.70866141732283472" top="0.74803149606299213" bottom="0.74803149606299213" header="0.31496062992125984" footer="0.31496062992125984"/>
      <pageSetup paperSize="9" orientation="landscape" r:id="rId1"/>
    </customSheetView>
    <customSheetView guid="{6AD2622C-AF85-4997-AA93-A54C85AD6D68}" scale="120" showPageBreaks="1" fitToPage="1" printArea="1" view="pageBreakPreview" topLeftCell="B1">
      <selection activeCell="M11" sqref="M11"/>
      <pageMargins left="0.70866141732283472" right="0.70866141732283472" top="0.74803149606299213" bottom="0.74803149606299213" header="0.31496062992125984" footer="0.31496062992125984"/>
      <pageSetup paperSize="9" scale="99" orientation="landscape" r:id="rId2"/>
    </customSheetView>
    <customSheetView guid="{C88A4605-0F8D-4713-9317-AF13632C8FA6}" scale="120" showPageBreaks="1" fitToPage="1" printArea="1" view="pageBreakPreview" topLeftCell="B1">
      <selection activeCell="M11" sqref="M11"/>
      <pageMargins left="0.70866141732283472" right="0.70866141732283472" top="0.74803149606299213" bottom="0.74803149606299213" header="0.31496062992125984" footer="0.31496062992125984"/>
      <pageSetup paperSize="9" scale="99" orientation="landscape" r:id="rId3"/>
    </customSheetView>
    <customSheetView guid="{84CC8968-6D7C-41C4-B973-ECD381BB63FC}" scale="120" showPageBreaks="1" fitToPage="1" printArea="1" state="hidden" view="pageBreakPreview" topLeftCell="B1">
      <selection activeCell="N10" sqref="N10"/>
      <pageMargins left="0.70866141732283472" right="0.70866141732283472" top="0.74803149606299213" bottom="0.74803149606299213" header="0.31496062992125984" footer="0.31496062992125984"/>
      <pageSetup paperSize="9" orientation="landscape" r:id="rId4"/>
    </customSheetView>
    <customSheetView guid="{C47F8591-E97A-4739-B299-8B7B5E22A2DD}" scale="120" showPageBreaks="1" fitToPage="1" printArea="1" view="pageBreakPreview" topLeftCell="B1">
      <selection activeCell="K7" sqref="K7"/>
      <pageMargins left="0.70866141732283472" right="0.70866141732283472" top="0.74803149606299213" bottom="0.74803149606299213" header="0.31496062992125984" footer="0.31496062992125984"/>
      <pageSetup paperSize="9" orientation="landscape" r:id="rId5"/>
    </customSheetView>
  </customSheetViews>
  <mergeCells count="6">
    <mergeCell ref="A1:K1"/>
    <mergeCell ref="A2:A4"/>
    <mergeCell ref="B2:B4"/>
    <mergeCell ref="C2:E2"/>
    <mergeCell ref="F2:H2"/>
    <mergeCell ref="I2:K2"/>
  </mergeCells>
  <pageMargins left="0.70866141732283472" right="0.70866141732283472" top="0.74803149606299213" bottom="0.74803149606299213" header="0.31496062992125984" footer="0.31496062992125984"/>
  <pageSetup paperSize="9" orientation="landscape"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A157"/>
  <sheetViews>
    <sheetView view="pageBreakPreview" topLeftCell="A55" zoomScale="80" zoomScaleSheetLayoutView="80" workbookViewId="0">
      <selection activeCell="I64" sqref="I64:K68"/>
    </sheetView>
  </sheetViews>
  <sheetFormatPr defaultColWidth="0.85546875" defaultRowHeight="12.75" x14ac:dyDescent="0.2"/>
  <cols>
    <col min="1" max="1" width="51.5703125" style="6" customWidth="1"/>
    <col min="2" max="2" width="15.140625" style="6" customWidth="1"/>
    <col min="3" max="3" width="16.140625" style="6" customWidth="1"/>
    <col min="4" max="4" width="17.140625" style="6" customWidth="1"/>
    <col min="5" max="5" width="16.5703125" style="6" customWidth="1"/>
    <col min="6" max="6" width="18" style="6" customWidth="1"/>
    <col min="7" max="8" width="17.85546875" style="6" customWidth="1"/>
    <col min="9" max="9" width="14.85546875" style="6" customWidth="1"/>
    <col min="10" max="10" width="14.5703125" style="6" customWidth="1"/>
    <col min="11" max="11" width="14.42578125" style="6" customWidth="1"/>
    <col min="12" max="12" width="18" style="6" customWidth="1"/>
    <col min="13" max="13" width="14.7109375" style="6" customWidth="1"/>
    <col min="14" max="14" width="18.42578125" style="6" customWidth="1"/>
    <col min="15" max="15" width="12.85546875" style="6" bestFit="1" customWidth="1"/>
    <col min="16" max="24" width="5.7109375" style="6" customWidth="1"/>
    <col min="25" max="25" width="9.140625" style="6" customWidth="1"/>
    <col min="26" max="45" width="5.7109375" style="6" customWidth="1"/>
    <col min="46" max="16384" width="0.85546875" style="6"/>
  </cols>
  <sheetData>
    <row r="1" spans="1:25" ht="22.5" customHeight="1" x14ac:dyDescent="0.3">
      <c r="A1" s="626" t="s">
        <v>33</v>
      </c>
      <c r="B1" s="626"/>
      <c r="C1" s="626"/>
      <c r="D1" s="626"/>
      <c r="E1" s="626"/>
      <c r="F1" s="626"/>
      <c r="G1" s="626"/>
      <c r="H1" s="626"/>
      <c r="I1" s="626"/>
      <c r="J1" s="626"/>
      <c r="K1" s="626"/>
      <c r="L1" s="626"/>
      <c r="M1" s="626"/>
      <c r="N1" s="65"/>
      <c r="O1" s="65"/>
      <c r="P1" s="65"/>
      <c r="Q1" s="65"/>
      <c r="R1" s="65"/>
      <c r="S1" s="65"/>
      <c r="T1" s="65"/>
      <c r="U1" s="65"/>
      <c r="V1" s="65"/>
      <c r="W1" s="65"/>
      <c r="X1" s="65"/>
      <c r="Y1" s="65"/>
    </row>
    <row r="2" spans="1:25" ht="22.5" customHeight="1" x14ac:dyDescent="0.3">
      <c r="A2" s="627" t="s">
        <v>410</v>
      </c>
      <c r="B2" s="627"/>
      <c r="C2" s="627"/>
      <c r="D2" s="627"/>
      <c r="E2" s="627"/>
      <c r="F2" s="627"/>
      <c r="G2" s="627"/>
      <c r="H2" s="627"/>
      <c r="I2" s="627"/>
      <c r="J2" s="627"/>
      <c r="K2" s="627"/>
      <c r="L2" s="627"/>
      <c r="M2" s="627"/>
      <c r="N2" s="65"/>
      <c r="O2" s="65"/>
      <c r="P2" s="65"/>
      <c r="Q2" s="65"/>
      <c r="R2" s="65"/>
      <c r="S2" s="65"/>
      <c r="T2" s="65"/>
      <c r="U2" s="65"/>
      <c r="V2" s="65"/>
      <c r="W2" s="65"/>
      <c r="X2" s="65"/>
      <c r="Y2" s="65"/>
    </row>
    <row r="3" spans="1:25" ht="22.5" customHeight="1" x14ac:dyDescent="0.3">
      <c r="A3" s="628" t="s">
        <v>411</v>
      </c>
      <c r="B3" s="628"/>
      <c r="C3" s="628"/>
      <c r="D3" s="628"/>
      <c r="E3" s="628"/>
      <c r="F3" s="628"/>
      <c r="G3" s="628"/>
      <c r="H3" s="628"/>
      <c r="I3" s="628"/>
      <c r="J3" s="628"/>
      <c r="K3" s="628"/>
      <c r="L3" s="628"/>
      <c r="M3" s="628"/>
      <c r="N3" s="65"/>
      <c r="O3" s="65"/>
      <c r="P3" s="65"/>
      <c r="Q3" s="65"/>
      <c r="R3" s="65"/>
      <c r="S3" s="65"/>
      <c r="T3" s="65"/>
      <c r="U3" s="65"/>
      <c r="V3" s="65"/>
      <c r="W3" s="65"/>
      <c r="X3" s="65"/>
      <c r="Y3" s="65"/>
    </row>
    <row r="4" spans="1:25" ht="22.5" customHeight="1" x14ac:dyDescent="0.3">
      <c r="A4" s="485" t="s">
        <v>36</v>
      </c>
      <c r="B4" s="552"/>
      <c r="C4" s="552"/>
      <c r="D4" s="553"/>
      <c r="E4" s="625" t="s">
        <v>129</v>
      </c>
      <c r="F4" s="629" t="s">
        <v>21</v>
      </c>
      <c r="G4" s="629"/>
      <c r="H4" s="629"/>
      <c r="I4" s="65"/>
      <c r="J4" s="65"/>
      <c r="K4" s="65"/>
      <c r="L4" s="65"/>
      <c r="M4" s="65"/>
      <c r="N4" s="65"/>
      <c r="O4" s="65"/>
      <c r="P4" s="65"/>
      <c r="Q4" s="65"/>
      <c r="R4" s="65"/>
      <c r="S4" s="65"/>
      <c r="T4" s="65"/>
      <c r="U4" s="65"/>
      <c r="V4" s="65"/>
      <c r="W4" s="65"/>
      <c r="X4" s="65"/>
      <c r="Y4" s="65"/>
    </row>
    <row r="5" spans="1:25" ht="22.5" customHeight="1" x14ac:dyDescent="0.3">
      <c r="A5" s="486"/>
      <c r="B5" s="554"/>
      <c r="C5" s="554"/>
      <c r="D5" s="555"/>
      <c r="E5" s="625"/>
      <c r="F5" s="272" t="s">
        <v>477</v>
      </c>
      <c r="G5" s="272" t="s">
        <v>552</v>
      </c>
      <c r="H5" s="272" t="s">
        <v>579</v>
      </c>
      <c r="I5" s="65"/>
      <c r="J5" s="65"/>
      <c r="K5" s="65"/>
      <c r="L5" s="65"/>
      <c r="M5" s="65"/>
      <c r="N5" s="65"/>
      <c r="O5" s="65"/>
      <c r="P5" s="65"/>
      <c r="Q5" s="65"/>
      <c r="R5" s="65"/>
      <c r="S5" s="65"/>
      <c r="T5" s="65"/>
      <c r="U5" s="65"/>
      <c r="V5" s="65"/>
      <c r="W5" s="65"/>
      <c r="X5" s="65"/>
      <c r="Y5" s="65"/>
    </row>
    <row r="6" spans="1:25" ht="22.5" customHeight="1" x14ac:dyDescent="0.3">
      <c r="A6" s="486"/>
      <c r="B6" s="554"/>
      <c r="C6" s="554"/>
      <c r="D6" s="555"/>
      <c r="E6" s="625"/>
      <c r="F6" s="630" t="s">
        <v>3</v>
      </c>
      <c r="G6" s="630" t="s">
        <v>38</v>
      </c>
      <c r="H6" s="630" t="s">
        <v>39</v>
      </c>
      <c r="I6" s="65"/>
      <c r="J6" s="65"/>
      <c r="K6" s="65"/>
      <c r="L6" s="65"/>
      <c r="M6" s="65"/>
      <c r="N6" s="65"/>
      <c r="O6" s="65"/>
      <c r="P6" s="65"/>
      <c r="Q6" s="65"/>
      <c r="R6" s="65"/>
      <c r="S6" s="65"/>
      <c r="T6" s="65"/>
      <c r="U6" s="65"/>
      <c r="V6" s="65"/>
      <c r="W6" s="65"/>
      <c r="X6" s="65"/>
      <c r="Y6" s="65"/>
    </row>
    <row r="7" spans="1:25" ht="22.5" customHeight="1" x14ac:dyDescent="0.3">
      <c r="A7" s="487"/>
      <c r="B7" s="556"/>
      <c r="C7" s="556"/>
      <c r="D7" s="557"/>
      <c r="E7" s="625"/>
      <c r="F7" s="630"/>
      <c r="G7" s="630"/>
      <c r="H7" s="630"/>
      <c r="I7" s="65"/>
      <c r="J7" s="65"/>
      <c r="K7" s="65"/>
      <c r="L7" s="65"/>
      <c r="M7" s="65"/>
      <c r="N7" s="65"/>
      <c r="O7" s="65"/>
      <c r="P7" s="65"/>
      <c r="Q7" s="65"/>
      <c r="R7" s="65"/>
      <c r="S7" s="65"/>
      <c r="T7" s="65"/>
      <c r="U7" s="65"/>
      <c r="V7" s="65"/>
      <c r="W7" s="65"/>
      <c r="X7" s="65"/>
      <c r="Y7" s="65"/>
    </row>
    <row r="8" spans="1:25" ht="22.5" customHeight="1" x14ac:dyDescent="0.3">
      <c r="A8" s="642">
        <v>1</v>
      </c>
      <c r="B8" s="643"/>
      <c r="C8" s="643"/>
      <c r="D8" s="644"/>
      <c r="E8" s="11">
        <v>2</v>
      </c>
      <c r="F8" s="68" t="s">
        <v>40</v>
      </c>
      <c r="G8" s="68" t="s">
        <v>41</v>
      </c>
      <c r="H8" s="68" t="s">
        <v>42</v>
      </c>
      <c r="I8" s="65"/>
      <c r="J8" s="65"/>
      <c r="K8" s="65"/>
      <c r="L8" s="65"/>
      <c r="M8" s="65"/>
      <c r="N8" s="65"/>
      <c r="O8" s="65"/>
      <c r="P8" s="65"/>
      <c r="Q8" s="65"/>
      <c r="R8" s="65"/>
      <c r="S8" s="65"/>
      <c r="T8" s="65"/>
      <c r="U8" s="65"/>
      <c r="V8" s="65"/>
      <c r="W8" s="65"/>
      <c r="X8" s="65"/>
      <c r="Y8" s="65"/>
    </row>
    <row r="9" spans="1:25" ht="22.5" customHeight="1" x14ac:dyDescent="0.3">
      <c r="A9" s="549" t="s">
        <v>412</v>
      </c>
      <c r="B9" s="550"/>
      <c r="C9" s="550"/>
      <c r="D9" s="551"/>
      <c r="E9" s="69" t="s">
        <v>44</v>
      </c>
      <c r="F9" s="56"/>
      <c r="G9" s="56"/>
      <c r="H9" s="56"/>
      <c r="I9" s="65"/>
      <c r="J9" s="65"/>
      <c r="K9" s="65"/>
      <c r="L9" s="65"/>
      <c r="M9" s="362">
        <f>F23+I111+I122+C152</f>
        <v>179513.81999999998</v>
      </c>
      <c r="N9" s="362">
        <f t="shared" ref="N9:O9" si="0">G23+J111+J122+D152</f>
        <v>63256</v>
      </c>
      <c r="O9" s="362">
        <f t="shared" si="0"/>
        <v>63256</v>
      </c>
      <c r="P9" s="65"/>
      <c r="Q9" s="65"/>
      <c r="R9" s="65"/>
      <c r="S9" s="65"/>
      <c r="T9" s="65"/>
      <c r="U9" s="65"/>
      <c r="V9" s="65"/>
      <c r="W9" s="65"/>
      <c r="X9" s="65"/>
      <c r="Y9" s="65"/>
    </row>
    <row r="10" spans="1:25" ht="31.5" customHeight="1" x14ac:dyDescent="0.3">
      <c r="A10" s="549" t="s">
        <v>413</v>
      </c>
      <c r="B10" s="550"/>
      <c r="C10" s="550"/>
      <c r="D10" s="551"/>
      <c r="E10" s="69" t="s">
        <v>46</v>
      </c>
      <c r="F10" s="56"/>
      <c r="G10" s="56"/>
      <c r="H10" s="56"/>
      <c r="I10" s="65"/>
      <c r="J10" s="65"/>
      <c r="K10" s="65"/>
      <c r="L10" s="65"/>
      <c r="M10" s="363">
        <f>M9-'раздел 1_2'!I27</f>
        <v>-8424.2699999999895</v>
      </c>
      <c r="N10" s="363">
        <f>N9-'раздел 1_2'!K27</f>
        <v>0</v>
      </c>
      <c r="O10" s="363">
        <f>O9-'раздел 1_2'!M27</f>
        <v>0</v>
      </c>
      <c r="P10" s="65"/>
      <c r="Q10" s="65"/>
      <c r="R10" s="65"/>
      <c r="S10" s="65"/>
      <c r="T10" s="65"/>
      <c r="U10" s="65"/>
      <c r="V10" s="65"/>
      <c r="W10" s="65"/>
      <c r="X10" s="65"/>
      <c r="Y10" s="65"/>
    </row>
    <row r="11" spans="1:25" ht="22.5" customHeight="1" x14ac:dyDescent="0.3">
      <c r="A11" s="459" t="s">
        <v>414</v>
      </c>
      <c r="B11" s="460"/>
      <c r="C11" s="460"/>
      <c r="D11" s="461"/>
      <c r="E11" s="69" t="s">
        <v>48</v>
      </c>
      <c r="F11" s="82">
        <f>F12+F13</f>
        <v>11561.78</v>
      </c>
      <c r="G11" s="82">
        <f>G12+G13</f>
        <v>0</v>
      </c>
      <c r="H11" s="82">
        <f>H12+H13</f>
        <v>0</v>
      </c>
      <c r="I11" s="65"/>
      <c r="J11" s="65"/>
      <c r="K11" s="65"/>
      <c r="L11" s="65"/>
      <c r="M11" s="65"/>
      <c r="N11" s="65"/>
      <c r="O11" s="65"/>
      <c r="P11" s="65"/>
      <c r="Q11" s="65"/>
      <c r="R11" s="65"/>
      <c r="S11" s="65"/>
      <c r="T11" s="65"/>
      <c r="U11" s="65"/>
      <c r="V11" s="65"/>
      <c r="W11" s="65"/>
      <c r="X11" s="65"/>
      <c r="Y11" s="65"/>
    </row>
    <row r="12" spans="1:25" ht="22.5" customHeight="1" x14ac:dyDescent="0.3">
      <c r="A12" s="549" t="s">
        <v>462</v>
      </c>
      <c r="B12" s="550"/>
      <c r="C12" s="550"/>
      <c r="D12" s="551"/>
      <c r="E12" s="69" t="s">
        <v>113</v>
      </c>
      <c r="F12" s="82">
        <f>I38</f>
        <v>11561.78</v>
      </c>
      <c r="G12" s="82">
        <f t="shared" ref="G12:H12" si="1">J38</f>
        <v>0</v>
      </c>
      <c r="H12" s="82">
        <f t="shared" si="1"/>
        <v>0</v>
      </c>
      <c r="I12" s="65"/>
      <c r="J12" s="65"/>
      <c r="K12" s="65"/>
      <c r="L12" s="65"/>
      <c r="M12" s="65"/>
      <c r="N12" s="65"/>
      <c r="O12" s="65"/>
      <c r="P12" s="65"/>
      <c r="Q12" s="65"/>
      <c r="R12" s="65"/>
      <c r="S12" s="65"/>
      <c r="T12" s="65"/>
      <c r="U12" s="65"/>
      <c r="V12" s="65"/>
      <c r="W12" s="65"/>
      <c r="X12" s="65"/>
      <c r="Y12" s="65"/>
    </row>
    <row r="13" spans="1:25" ht="22.5" customHeight="1" x14ac:dyDescent="0.3">
      <c r="A13" s="549" t="s">
        <v>415</v>
      </c>
      <c r="B13" s="550"/>
      <c r="C13" s="550"/>
      <c r="D13" s="551"/>
      <c r="E13" s="69" t="s">
        <v>416</v>
      </c>
      <c r="F13" s="82">
        <v>0</v>
      </c>
      <c r="G13" s="82">
        <v>0</v>
      </c>
      <c r="H13" s="82">
        <v>0</v>
      </c>
      <c r="I13" s="65"/>
      <c r="J13" s="65"/>
      <c r="K13" s="65"/>
      <c r="L13" s="65"/>
      <c r="M13" s="65"/>
      <c r="N13" s="65"/>
      <c r="O13" s="65"/>
      <c r="P13" s="65"/>
      <c r="Q13" s="65"/>
      <c r="R13" s="65"/>
      <c r="S13" s="65"/>
      <c r="T13" s="65"/>
      <c r="U13" s="65"/>
      <c r="V13" s="65"/>
      <c r="W13" s="65"/>
      <c r="X13" s="65"/>
      <c r="Y13" s="65"/>
    </row>
    <row r="14" spans="1:25" ht="22.5" customHeight="1" x14ac:dyDescent="0.3">
      <c r="A14" s="549" t="s">
        <v>188</v>
      </c>
      <c r="B14" s="550"/>
      <c r="C14" s="550"/>
      <c r="D14" s="551"/>
      <c r="E14" s="69" t="s">
        <v>417</v>
      </c>
      <c r="F14" s="56"/>
      <c r="G14" s="56"/>
      <c r="H14" s="56"/>
      <c r="I14" s="65"/>
      <c r="J14" s="65"/>
      <c r="K14" s="65"/>
      <c r="L14" s="65"/>
      <c r="M14" s="65"/>
      <c r="N14" s="65"/>
      <c r="O14" s="65"/>
      <c r="P14" s="65"/>
      <c r="Q14" s="65"/>
      <c r="R14" s="65"/>
      <c r="S14" s="65"/>
      <c r="T14" s="65"/>
      <c r="U14" s="65"/>
      <c r="V14" s="65"/>
      <c r="W14" s="65"/>
      <c r="X14" s="65"/>
      <c r="Y14" s="65"/>
    </row>
    <row r="15" spans="1:25" ht="22.5" customHeight="1" x14ac:dyDescent="0.3">
      <c r="A15" s="549" t="s">
        <v>190</v>
      </c>
      <c r="B15" s="550"/>
      <c r="C15" s="550"/>
      <c r="D15" s="551"/>
      <c r="E15" s="69" t="s">
        <v>418</v>
      </c>
      <c r="F15" s="56"/>
      <c r="G15" s="56"/>
      <c r="H15" s="56"/>
      <c r="I15" s="65"/>
      <c r="J15" s="65"/>
      <c r="K15" s="65"/>
      <c r="L15" s="65"/>
      <c r="M15" s="65"/>
      <c r="N15" s="65"/>
      <c r="O15" s="65"/>
      <c r="P15" s="65"/>
      <c r="Q15" s="65"/>
      <c r="R15" s="65"/>
      <c r="S15" s="65"/>
      <c r="T15" s="65"/>
      <c r="U15" s="65"/>
      <c r="V15" s="65"/>
      <c r="W15" s="65"/>
      <c r="X15" s="65"/>
      <c r="Y15" s="65"/>
    </row>
    <row r="16" spans="1:25" ht="22.5" customHeight="1" x14ac:dyDescent="0.3">
      <c r="A16" s="549" t="s">
        <v>419</v>
      </c>
      <c r="B16" s="550"/>
      <c r="C16" s="550"/>
      <c r="D16" s="551"/>
      <c r="E16" s="69" t="s">
        <v>420</v>
      </c>
      <c r="F16" s="56"/>
      <c r="G16" s="56"/>
      <c r="H16" s="56"/>
      <c r="I16" s="65"/>
      <c r="J16" s="65"/>
      <c r="K16" s="65"/>
      <c r="L16" s="65"/>
      <c r="M16" s="65"/>
      <c r="N16" s="65"/>
      <c r="O16" s="65"/>
      <c r="P16" s="65"/>
      <c r="Q16" s="65"/>
      <c r="R16" s="65"/>
      <c r="S16" s="65"/>
      <c r="T16" s="65"/>
      <c r="U16" s="65"/>
      <c r="V16" s="65"/>
      <c r="W16" s="65"/>
      <c r="X16" s="65"/>
      <c r="Y16" s="65"/>
    </row>
    <row r="17" spans="1:27" ht="22.5" customHeight="1" x14ac:dyDescent="0.3">
      <c r="A17" s="549" t="s">
        <v>421</v>
      </c>
      <c r="B17" s="550"/>
      <c r="C17" s="550"/>
      <c r="D17" s="551"/>
      <c r="E17" s="69" t="s">
        <v>422</v>
      </c>
      <c r="F17" s="56"/>
      <c r="G17" s="56"/>
      <c r="H17" s="56"/>
      <c r="I17" s="65"/>
      <c r="J17" s="65"/>
      <c r="K17" s="65"/>
      <c r="L17" s="65"/>
      <c r="M17" s="65"/>
      <c r="N17" s="65"/>
      <c r="O17" s="65"/>
      <c r="P17" s="65"/>
      <c r="Q17" s="65"/>
      <c r="R17" s="65"/>
      <c r="S17" s="65"/>
      <c r="T17" s="65"/>
      <c r="U17" s="65"/>
      <c r="V17" s="65"/>
      <c r="W17" s="65"/>
      <c r="X17" s="65"/>
      <c r="Y17" s="65"/>
    </row>
    <row r="18" spans="1:27" ht="22.5" customHeight="1" x14ac:dyDescent="0.3">
      <c r="A18" s="636" t="s">
        <v>423</v>
      </c>
      <c r="B18" s="637"/>
      <c r="C18" s="637"/>
      <c r="D18" s="638"/>
      <c r="E18" s="69" t="s">
        <v>424</v>
      </c>
      <c r="F18" s="56"/>
      <c r="G18" s="56"/>
      <c r="H18" s="56"/>
      <c r="I18" s="65"/>
      <c r="J18" s="65"/>
      <c r="K18" s="65"/>
      <c r="L18" s="65"/>
      <c r="M18" s="65"/>
      <c r="N18" s="65"/>
      <c r="O18" s="65"/>
      <c r="P18" s="65"/>
      <c r="Q18" s="65"/>
      <c r="R18" s="65"/>
      <c r="S18" s="65"/>
      <c r="T18" s="65"/>
      <c r="U18" s="65"/>
      <c r="V18" s="65"/>
      <c r="W18" s="65"/>
      <c r="X18" s="65"/>
      <c r="Y18" s="65"/>
    </row>
    <row r="19" spans="1:27" ht="22.5" customHeight="1" x14ac:dyDescent="0.3">
      <c r="A19" s="636" t="s">
        <v>425</v>
      </c>
      <c r="B19" s="637"/>
      <c r="C19" s="637"/>
      <c r="D19" s="638"/>
      <c r="E19" s="69" t="s">
        <v>426</v>
      </c>
      <c r="F19" s="56"/>
      <c r="G19" s="56"/>
      <c r="H19" s="56"/>
      <c r="I19" s="65"/>
      <c r="J19" s="65"/>
      <c r="K19" s="65"/>
      <c r="L19" s="65"/>
      <c r="M19" s="65"/>
      <c r="N19" s="65"/>
      <c r="O19" s="65"/>
      <c r="P19" s="65"/>
      <c r="Q19" s="65"/>
      <c r="R19" s="65"/>
      <c r="S19" s="65"/>
      <c r="T19" s="65"/>
      <c r="U19" s="65"/>
      <c r="V19" s="65"/>
      <c r="W19" s="65"/>
      <c r="X19" s="65"/>
      <c r="Y19" s="65"/>
    </row>
    <row r="20" spans="1:27" ht="22.5" customHeight="1" x14ac:dyDescent="0.3">
      <c r="A20" s="639" t="s">
        <v>427</v>
      </c>
      <c r="B20" s="640"/>
      <c r="C20" s="640"/>
      <c r="D20" s="641"/>
      <c r="E20" s="69" t="s">
        <v>428</v>
      </c>
      <c r="F20" s="56"/>
      <c r="G20" s="56"/>
      <c r="H20" s="56"/>
      <c r="I20" s="65"/>
      <c r="J20" s="65"/>
      <c r="K20" s="65"/>
      <c r="L20" s="65"/>
      <c r="M20" s="65"/>
      <c r="N20" s="65"/>
      <c r="O20" s="65"/>
      <c r="P20" s="65"/>
      <c r="Q20" s="65"/>
      <c r="R20" s="65"/>
      <c r="S20" s="65"/>
      <c r="T20" s="65"/>
      <c r="U20" s="65"/>
      <c r="V20" s="65"/>
      <c r="W20" s="65"/>
      <c r="X20" s="65"/>
      <c r="Y20" s="65"/>
    </row>
    <row r="21" spans="1:27" ht="22.5" customHeight="1" x14ac:dyDescent="0.3">
      <c r="A21" s="549" t="s">
        <v>429</v>
      </c>
      <c r="B21" s="550"/>
      <c r="C21" s="550"/>
      <c r="D21" s="551"/>
      <c r="E21" s="69" t="s">
        <v>50</v>
      </c>
      <c r="F21" s="56"/>
      <c r="G21" s="56"/>
      <c r="H21" s="56"/>
      <c r="I21" s="65"/>
      <c r="J21" s="65"/>
      <c r="K21" s="65"/>
      <c r="L21" s="65"/>
      <c r="M21" s="65"/>
      <c r="N21" s="65"/>
      <c r="O21" s="65"/>
      <c r="P21" s="65"/>
      <c r="Q21" s="65"/>
      <c r="R21" s="65"/>
      <c r="S21" s="65"/>
      <c r="T21" s="65"/>
      <c r="U21" s="65"/>
      <c r="V21" s="65"/>
      <c r="W21" s="65"/>
      <c r="X21" s="65"/>
      <c r="Y21" s="65"/>
    </row>
    <row r="22" spans="1:27" ht="22.5" customHeight="1" x14ac:dyDescent="0.3">
      <c r="A22" s="636" t="s">
        <v>430</v>
      </c>
      <c r="B22" s="637"/>
      <c r="C22" s="637"/>
      <c r="D22" s="638"/>
      <c r="E22" s="69" t="s">
        <v>52</v>
      </c>
      <c r="F22" s="56"/>
      <c r="G22" s="56"/>
      <c r="H22" s="56"/>
      <c r="I22" s="65"/>
      <c r="J22" s="65"/>
      <c r="K22" s="65"/>
      <c r="L22" s="65"/>
      <c r="M22" s="65"/>
      <c r="N22" s="65"/>
      <c r="O22" s="65"/>
      <c r="P22" s="65"/>
      <c r="Q22" s="65"/>
      <c r="R22" s="65"/>
      <c r="S22" s="65"/>
      <c r="T22" s="65"/>
      <c r="U22" s="65"/>
      <c r="V22" s="65"/>
      <c r="W22" s="65"/>
      <c r="X22" s="65"/>
      <c r="Y22" s="65"/>
    </row>
    <row r="23" spans="1:27" ht="30.75" customHeight="1" x14ac:dyDescent="0.3">
      <c r="A23" s="636" t="s">
        <v>431</v>
      </c>
      <c r="B23" s="637"/>
      <c r="C23" s="637"/>
      <c r="D23" s="638"/>
      <c r="E23" s="69" t="s">
        <v>54</v>
      </c>
      <c r="F23" s="82">
        <f>F9-F10+F11-F21+F22</f>
        <v>11561.78</v>
      </c>
      <c r="G23" s="82">
        <f>G9-G10+G11-G21+G22</f>
        <v>0</v>
      </c>
      <c r="H23" s="82">
        <f>H9-H10+H11-H21+H22</f>
        <v>0</v>
      </c>
      <c r="I23" s="65"/>
      <c r="J23" s="65"/>
      <c r="K23" s="65"/>
      <c r="L23" s="65"/>
      <c r="M23" s="65"/>
      <c r="N23" s="65"/>
      <c r="O23" s="65"/>
      <c r="P23" s="65"/>
      <c r="Q23" s="65"/>
      <c r="R23" s="65"/>
      <c r="S23" s="65"/>
      <c r="T23" s="65"/>
      <c r="U23" s="65"/>
      <c r="V23" s="65"/>
      <c r="W23" s="65"/>
      <c r="X23" s="65"/>
      <c r="Y23" s="65"/>
    </row>
    <row r="24" spans="1:27" ht="22.5" customHeight="1" x14ac:dyDescent="0.3">
      <c r="A24" s="628" t="s">
        <v>432</v>
      </c>
      <c r="B24" s="628"/>
      <c r="C24" s="628"/>
      <c r="D24" s="628"/>
      <c r="E24" s="628"/>
      <c r="F24" s="628"/>
      <c r="G24" s="628"/>
      <c r="H24" s="628"/>
      <c r="I24" s="628"/>
      <c r="J24" s="628"/>
      <c r="K24" s="628"/>
      <c r="L24" s="628"/>
      <c r="M24" s="628"/>
      <c r="N24" s="65"/>
      <c r="O24" s="65"/>
      <c r="P24" s="65"/>
      <c r="Q24" s="65"/>
      <c r="R24" s="65"/>
      <c r="S24" s="65"/>
      <c r="T24" s="65"/>
      <c r="U24" s="65"/>
      <c r="V24" s="65"/>
      <c r="W24" s="65"/>
      <c r="X24" s="65"/>
      <c r="Y24" s="65"/>
    </row>
    <row r="25" spans="1:27" ht="22.5" customHeight="1" x14ac:dyDescent="0.3">
      <c r="A25" s="65"/>
      <c r="B25" s="65"/>
      <c r="C25" s="65"/>
      <c r="D25" s="65"/>
      <c r="E25" s="65"/>
      <c r="F25" s="65"/>
      <c r="G25" s="65"/>
      <c r="H25" s="65"/>
      <c r="I25" s="65"/>
      <c r="J25" s="65"/>
      <c r="K25" s="65"/>
      <c r="L25" s="65"/>
      <c r="M25" s="65"/>
      <c r="N25" s="65"/>
      <c r="O25" s="65"/>
      <c r="P25" s="65"/>
      <c r="Q25" s="65"/>
      <c r="R25" s="65"/>
      <c r="S25" s="65"/>
      <c r="T25" s="65"/>
      <c r="U25" s="65"/>
      <c r="V25" s="65"/>
      <c r="W25" s="65"/>
      <c r="X25" s="65"/>
      <c r="Y25" s="65"/>
    </row>
    <row r="26" spans="1:27" ht="32.25" customHeight="1" x14ac:dyDescent="0.3">
      <c r="A26" s="625" t="s">
        <v>433</v>
      </c>
      <c r="B26" s="625" t="s">
        <v>129</v>
      </c>
      <c r="C26" s="582" t="s">
        <v>434</v>
      </c>
      <c r="D26" s="582"/>
      <c r="E26" s="582"/>
      <c r="F26" s="582" t="s">
        <v>435</v>
      </c>
      <c r="G26" s="582"/>
      <c r="H26" s="582"/>
      <c r="I26" s="625" t="s">
        <v>436</v>
      </c>
      <c r="J26" s="625"/>
      <c r="K26" s="625"/>
      <c r="L26" s="65"/>
      <c r="M26" s="65"/>
      <c r="N26" s="65"/>
      <c r="O26" s="65"/>
      <c r="P26" s="65"/>
      <c r="Q26" s="65"/>
      <c r="R26" s="65"/>
      <c r="S26" s="65"/>
      <c r="T26" s="65"/>
      <c r="U26" s="65"/>
      <c r="V26" s="65"/>
      <c r="W26" s="65"/>
      <c r="X26" s="65"/>
      <c r="Y26" s="65"/>
    </row>
    <row r="27" spans="1:27" ht="22.5" customHeight="1" x14ac:dyDescent="0.3">
      <c r="A27" s="625"/>
      <c r="B27" s="625"/>
      <c r="C27" s="272" t="s">
        <v>477</v>
      </c>
      <c r="D27" s="272" t="s">
        <v>552</v>
      </c>
      <c r="E27" s="272" t="s">
        <v>579</v>
      </c>
      <c r="F27" s="272" t="s">
        <v>477</v>
      </c>
      <c r="G27" s="272" t="s">
        <v>552</v>
      </c>
      <c r="H27" s="272" t="s">
        <v>579</v>
      </c>
      <c r="I27" s="272" t="s">
        <v>477</v>
      </c>
      <c r="J27" s="272" t="s">
        <v>552</v>
      </c>
      <c r="K27" s="272" t="s">
        <v>579</v>
      </c>
      <c r="L27" s="65"/>
      <c r="M27" s="65"/>
      <c r="N27" s="65"/>
      <c r="O27" s="65"/>
      <c r="P27" s="65"/>
      <c r="Q27" s="65"/>
      <c r="R27" s="65"/>
      <c r="S27" s="65"/>
      <c r="T27" s="65"/>
      <c r="U27" s="65"/>
      <c r="V27" s="65"/>
      <c r="W27" s="65"/>
      <c r="X27" s="65"/>
      <c r="Y27" s="65"/>
    </row>
    <row r="28" spans="1:27" ht="30.75" customHeight="1" x14ac:dyDescent="0.3">
      <c r="A28" s="625"/>
      <c r="B28" s="625"/>
      <c r="C28" s="22" t="s">
        <v>3</v>
      </c>
      <c r="D28" s="22" t="s">
        <v>4</v>
      </c>
      <c r="E28" s="22" t="s">
        <v>5</v>
      </c>
      <c r="F28" s="22" t="s">
        <v>3</v>
      </c>
      <c r="G28" s="17" t="s">
        <v>4</v>
      </c>
      <c r="H28" s="22" t="s">
        <v>5</v>
      </c>
      <c r="I28" s="22" t="s">
        <v>3</v>
      </c>
      <c r="J28" s="17" t="s">
        <v>4</v>
      </c>
      <c r="K28" s="22" t="s">
        <v>5</v>
      </c>
      <c r="L28" s="65"/>
      <c r="M28" s="65"/>
      <c r="N28" s="65"/>
      <c r="O28" s="65"/>
      <c r="P28" s="65"/>
      <c r="Q28" s="65"/>
      <c r="R28" s="65"/>
      <c r="S28" s="65"/>
      <c r="T28" s="65"/>
      <c r="U28" s="65"/>
      <c r="V28" s="65"/>
      <c r="W28" s="65"/>
      <c r="X28" s="65"/>
      <c r="Y28" s="65"/>
    </row>
    <row r="29" spans="1:27" ht="22.5" customHeight="1" x14ac:dyDescent="0.3">
      <c r="A29" s="17">
        <v>1</v>
      </c>
      <c r="B29" s="17">
        <v>2</v>
      </c>
      <c r="C29" s="17">
        <v>3</v>
      </c>
      <c r="D29" s="17">
        <v>4</v>
      </c>
      <c r="E29" s="17">
        <v>5</v>
      </c>
      <c r="F29" s="17">
        <v>6</v>
      </c>
      <c r="G29" s="17">
        <v>7</v>
      </c>
      <c r="H29" s="17">
        <v>8</v>
      </c>
      <c r="I29" s="17">
        <v>9</v>
      </c>
      <c r="J29" s="17">
        <v>10</v>
      </c>
      <c r="K29" s="17">
        <v>11</v>
      </c>
      <c r="L29" s="65"/>
      <c r="M29" s="65"/>
      <c r="N29" s="65"/>
      <c r="O29" s="65"/>
      <c r="P29" s="65"/>
      <c r="Q29" s="65"/>
      <c r="R29" s="65"/>
      <c r="S29" s="65"/>
      <c r="T29" s="65"/>
      <c r="U29" s="65"/>
      <c r="V29" s="65"/>
      <c r="W29" s="65"/>
      <c r="X29" s="65"/>
      <c r="Y29" s="65"/>
    </row>
    <row r="30" spans="1:27" ht="22.5" customHeight="1" x14ac:dyDescent="0.3">
      <c r="A30" s="23" t="s">
        <v>437</v>
      </c>
      <c r="B30" s="70" t="s">
        <v>44</v>
      </c>
      <c r="C30" s="347" t="s">
        <v>14</v>
      </c>
      <c r="D30" s="347" t="s">
        <v>14</v>
      </c>
      <c r="E30" s="347" t="s">
        <v>14</v>
      </c>
      <c r="F30" s="347" t="s">
        <v>14</v>
      </c>
      <c r="G30" s="347" t="s">
        <v>14</v>
      </c>
      <c r="H30" s="347" t="s">
        <v>14</v>
      </c>
      <c r="I30" s="19">
        <f>I32+I33</f>
        <v>11561.78</v>
      </c>
      <c r="J30" s="19">
        <f t="shared" ref="J30:K30" si="2">J32+J33</f>
        <v>0</v>
      </c>
      <c r="K30" s="19">
        <f t="shared" si="2"/>
        <v>0</v>
      </c>
      <c r="L30" s="65"/>
      <c r="M30" s="65"/>
      <c r="N30" s="65"/>
      <c r="O30" s="65"/>
      <c r="P30" s="65"/>
      <c r="Q30" s="65"/>
      <c r="R30" s="65"/>
      <c r="S30" s="65"/>
      <c r="T30" s="65"/>
      <c r="U30" s="65"/>
      <c r="V30" s="65"/>
      <c r="W30" s="65"/>
      <c r="X30" s="65"/>
      <c r="Y30" s="65"/>
    </row>
    <row r="31" spans="1:27" ht="22.5" customHeight="1" x14ac:dyDescent="0.3">
      <c r="A31" s="23" t="s">
        <v>438</v>
      </c>
      <c r="B31" s="70"/>
      <c r="C31" s="347"/>
      <c r="D31" s="347"/>
      <c r="E31" s="347"/>
      <c r="F31" s="347"/>
      <c r="G31" s="347"/>
      <c r="H31" s="347"/>
      <c r="I31" s="347"/>
      <c r="J31" s="347"/>
      <c r="K31" s="347"/>
      <c r="L31" s="65"/>
      <c r="M31" s="65"/>
      <c r="N31" s="65"/>
      <c r="O31" s="79"/>
      <c r="P31" s="80"/>
      <c r="Q31" s="80"/>
      <c r="R31" s="80"/>
      <c r="S31" s="80"/>
      <c r="T31" s="80"/>
      <c r="U31" s="80"/>
      <c r="V31" s="80"/>
      <c r="W31" s="80"/>
      <c r="X31" s="80"/>
      <c r="Y31" s="80"/>
      <c r="Z31" s="80"/>
      <c r="AA31" s="81"/>
    </row>
    <row r="32" spans="1:27" ht="30.75" customHeight="1" x14ac:dyDescent="0.3">
      <c r="A32" s="23" t="s">
        <v>741</v>
      </c>
      <c r="B32" s="70" t="s">
        <v>439</v>
      </c>
      <c r="C32" s="19">
        <f>I32/F32</f>
        <v>38.661695368667445</v>
      </c>
      <c r="D32" s="19">
        <v>0</v>
      </c>
      <c r="E32" s="19">
        <v>0</v>
      </c>
      <c r="F32" s="19">
        <v>299.05</v>
      </c>
      <c r="G32" s="19">
        <v>0</v>
      </c>
      <c r="H32" s="19">
        <v>0</v>
      </c>
      <c r="I32" s="19">
        <f>'раздел 1_2'!I29</f>
        <v>11561.78</v>
      </c>
      <c r="J32" s="19">
        <v>0</v>
      </c>
      <c r="K32" s="19">
        <v>0</v>
      </c>
      <c r="L32" s="65"/>
      <c r="M32" s="65"/>
      <c r="N32" s="65"/>
      <c r="O32" s="65"/>
      <c r="P32" s="65"/>
      <c r="Q32" s="65"/>
      <c r="R32" s="65"/>
      <c r="S32" s="65"/>
      <c r="T32" s="65"/>
      <c r="U32" s="65"/>
      <c r="V32" s="65"/>
      <c r="W32" s="65"/>
      <c r="X32" s="65"/>
      <c r="Y32" s="65"/>
    </row>
    <row r="33" spans="1:25" s="95" customFormat="1" ht="22.5" customHeight="1" x14ac:dyDescent="0.3">
      <c r="A33" s="23" t="s">
        <v>463</v>
      </c>
      <c r="B33" s="70" t="s">
        <v>479</v>
      </c>
      <c r="C33" s="19"/>
      <c r="D33" s="19"/>
      <c r="E33" s="19"/>
      <c r="F33" s="19"/>
      <c r="G33" s="19"/>
      <c r="H33" s="19"/>
      <c r="I33" s="19"/>
      <c r="J33" s="19"/>
      <c r="K33" s="19"/>
      <c r="L33" s="65"/>
      <c r="M33" s="65"/>
      <c r="N33" s="65"/>
      <c r="O33" s="65"/>
      <c r="P33" s="65"/>
      <c r="Q33" s="65"/>
      <c r="R33" s="65"/>
      <c r="S33" s="65"/>
      <c r="T33" s="65"/>
      <c r="U33" s="65"/>
      <c r="V33" s="65"/>
      <c r="W33" s="65"/>
      <c r="X33" s="65"/>
      <c r="Y33" s="65"/>
    </row>
    <row r="34" spans="1:25" ht="22.5" customHeight="1" x14ac:dyDescent="0.3">
      <c r="A34" s="23" t="s">
        <v>440</v>
      </c>
      <c r="B34" s="70" t="s">
        <v>46</v>
      </c>
      <c r="C34" s="347" t="s">
        <v>14</v>
      </c>
      <c r="D34" s="347" t="s">
        <v>14</v>
      </c>
      <c r="E34" s="347" t="s">
        <v>14</v>
      </c>
      <c r="F34" s="347" t="s">
        <v>14</v>
      </c>
      <c r="G34" s="347" t="s">
        <v>14</v>
      </c>
      <c r="H34" s="347" t="s">
        <v>14</v>
      </c>
      <c r="I34" s="347">
        <f>I36+I37</f>
        <v>0</v>
      </c>
      <c r="J34" s="347">
        <f t="shared" ref="J34:K34" si="3">J36+J37</f>
        <v>0</v>
      </c>
      <c r="K34" s="347">
        <f t="shared" si="3"/>
        <v>0</v>
      </c>
      <c r="L34" s="65"/>
      <c r="M34" s="65"/>
      <c r="N34" s="65"/>
      <c r="O34" s="65"/>
      <c r="P34" s="65"/>
      <c r="Q34" s="65"/>
      <c r="R34" s="65"/>
      <c r="S34" s="65"/>
      <c r="T34" s="65"/>
      <c r="U34" s="65"/>
      <c r="V34" s="65"/>
      <c r="W34" s="65"/>
      <c r="X34" s="65"/>
      <c r="Y34" s="65"/>
    </row>
    <row r="35" spans="1:25" ht="22.5" customHeight="1" x14ac:dyDescent="0.3">
      <c r="A35" s="23" t="s">
        <v>438</v>
      </c>
      <c r="B35" s="70"/>
      <c r="C35" s="347"/>
      <c r="D35" s="347"/>
      <c r="E35" s="347"/>
      <c r="F35" s="347"/>
      <c r="G35" s="347"/>
      <c r="H35" s="347"/>
      <c r="I35" s="347"/>
      <c r="J35" s="347"/>
      <c r="K35" s="347"/>
      <c r="L35" s="65"/>
      <c r="M35" s="65"/>
      <c r="N35" s="65"/>
      <c r="O35" s="65"/>
      <c r="P35" s="65"/>
      <c r="Q35" s="65"/>
      <c r="R35" s="65"/>
      <c r="S35" s="65"/>
      <c r="T35" s="65"/>
      <c r="U35" s="65"/>
      <c r="V35" s="65"/>
      <c r="W35" s="65"/>
      <c r="X35" s="65"/>
      <c r="Y35" s="65"/>
    </row>
    <row r="36" spans="1:25" s="95" customFormat="1" ht="22.5" customHeight="1" x14ac:dyDescent="0.3">
      <c r="A36" s="23" t="s">
        <v>480</v>
      </c>
      <c r="B36" s="70" t="s">
        <v>441</v>
      </c>
      <c r="C36" s="347"/>
      <c r="D36" s="347"/>
      <c r="E36" s="347"/>
      <c r="F36" s="347"/>
      <c r="G36" s="347"/>
      <c r="H36" s="347"/>
      <c r="I36" s="347"/>
      <c r="J36" s="347"/>
      <c r="K36" s="347"/>
      <c r="L36" s="65"/>
      <c r="M36" s="65"/>
      <c r="N36" s="65"/>
      <c r="O36" s="65"/>
      <c r="P36" s="65"/>
      <c r="Q36" s="65"/>
      <c r="R36" s="65"/>
      <c r="S36" s="65"/>
      <c r="T36" s="65"/>
      <c r="U36" s="65"/>
      <c r="V36" s="65"/>
      <c r="W36" s="65"/>
      <c r="X36" s="65"/>
      <c r="Y36" s="65"/>
    </row>
    <row r="37" spans="1:25" ht="22.5" customHeight="1" x14ac:dyDescent="0.3">
      <c r="A37" s="23" t="s">
        <v>480</v>
      </c>
      <c r="B37" s="70" t="s">
        <v>481</v>
      </c>
      <c r="C37" s="347"/>
      <c r="D37" s="347"/>
      <c r="E37" s="347"/>
      <c r="F37" s="347"/>
      <c r="G37" s="347"/>
      <c r="H37" s="347"/>
      <c r="I37" s="347"/>
      <c r="J37" s="347"/>
      <c r="K37" s="347"/>
      <c r="L37" s="65"/>
      <c r="M37" s="65"/>
      <c r="N37" s="65"/>
      <c r="O37" s="65"/>
      <c r="P37" s="65"/>
      <c r="Q37" s="65"/>
      <c r="R37" s="65"/>
      <c r="S37" s="65"/>
      <c r="T37" s="65"/>
      <c r="U37" s="65"/>
      <c r="V37" s="65"/>
      <c r="W37" s="65"/>
      <c r="X37" s="65"/>
      <c r="Y37" s="65"/>
    </row>
    <row r="38" spans="1:25" ht="22.5" customHeight="1" x14ac:dyDescent="0.3">
      <c r="A38" s="23" t="s">
        <v>71</v>
      </c>
      <c r="B38" s="70" t="s">
        <v>72</v>
      </c>
      <c r="C38" s="347" t="s">
        <v>14</v>
      </c>
      <c r="D38" s="347" t="s">
        <v>14</v>
      </c>
      <c r="E38" s="347" t="s">
        <v>14</v>
      </c>
      <c r="F38" s="347" t="s">
        <v>14</v>
      </c>
      <c r="G38" s="347" t="s">
        <v>14</v>
      </c>
      <c r="H38" s="347" t="s">
        <v>14</v>
      </c>
      <c r="I38" s="19">
        <f>I30+I34</f>
        <v>11561.78</v>
      </c>
      <c r="J38" s="19">
        <f t="shared" ref="J38:K38" si="4">J30+J34</f>
        <v>0</v>
      </c>
      <c r="K38" s="19">
        <f t="shared" si="4"/>
        <v>0</v>
      </c>
      <c r="L38" s="65"/>
      <c r="M38" s="65"/>
      <c r="N38" s="65"/>
      <c r="O38" s="65"/>
      <c r="P38" s="65"/>
      <c r="Q38" s="65"/>
      <c r="R38" s="65"/>
      <c r="S38" s="65"/>
      <c r="T38" s="65"/>
      <c r="U38" s="65"/>
      <c r="V38" s="65"/>
      <c r="W38" s="65"/>
      <c r="X38" s="65"/>
      <c r="Y38" s="65"/>
    </row>
    <row r="39" spans="1:25" ht="30.75" customHeight="1" x14ac:dyDescent="0.3">
      <c r="A39" s="624" t="s">
        <v>442</v>
      </c>
      <c r="B39" s="624"/>
      <c r="C39" s="624"/>
      <c r="D39" s="624"/>
      <c r="E39" s="624"/>
      <c r="F39" s="624"/>
      <c r="G39" s="624"/>
      <c r="H39" s="624"/>
      <c r="I39" s="624"/>
      <c r="J39" s="624"/>
      <c r="K39" s="624"/>
      <c r="L39" s="624"/>
      <c r="M39" s="624"/>
      <c r="N39" s="65"/>
      <c r="O39" s="65"/>
      <c r="P39" s="65"/>
      <c r="Q39" s="65"/>
      <c r="R39" s="65"/>
      <c r="S39" s="65"/>
      <c r="T39" s="65"/>
      <c r="U39" s="65"/>
      <c r="V39" s="65"/>
      <c r="W39" s="65"/>
      <c r="X39" s="65"/>
      <c r="Y39" s="65"/>
    </row>
    <row r="40" spans="1:25" ht="22.5" customHeight="1" x14ac:dyDescent="0.3">
      <c r="A40" s="628" t="s">
        <v>443</v>
      </c>
      <c r="B40" s="628"/>
      <c r="C40" s="628"/>
      <c r="D40" s="628"/>
      <c r="E40" s="628"/>
      <c r="F40" s="628"/>
      <c r="G40" s="628"/>
      <c r="H40" s="628"/>
      <c r="I40" s="628"/>
      <c r="J40" s="628"/>
      <c r="K40" s="628"/>
      <c r="L40" s="628"/>
      <c r="M40" s="628"/>
      <c r="N40" s="65"/>
      <c r="O40" s="65"/>
      <c r="P40" s="65"/>
      <c r="Q40" s="65"/>
      <c r="R40" s="65"/>
      <c r="S40" s="65"/>
      <c r="T40" s="65"/>
      <c r="U40" s="65"/>
      <c r="V40" s="65"/>
      <c r="W40" s="65"/>
      <c r="X40" s="65"/>
      <c r="Y40" s="65"/>
    </row>
    <row r="41" spans="1:25" ht="22.5" customHeight="1" x14ac:dyDescent="0.3">
      <c r="A41" s="36"/>
      <c r="B41" s="36"/>
      <c r="C41" s="36"/>
      <c r="D41" s="36"/>
      <c r="E41" s="36"/>
      <c r="F41" s="36"/>
      <c r="G41" s="36"/>
      <c r="H41" s="36"/>
      <c r="I41" s="36"/>
      <c r="J41" s="36"/>
      <c r="K41" s="36"/>
      <c r="L41" s="36"/>
      <c r="M41" s="36"/>
      <c r="N41" s="65"/>
      <c r="O41" s="65"/>
      <c r="P41" s="65"/>
      <c r="Q41" s="65"/>
      <c r="R41" s="65"/>
      <c r="S41" s="65"/>
      <c r="T41" s="65"/>
      <c r="U41" s="65"/>
      <c r="V41" s="65"/>
      <c r="W41" s="65"/>
      <c r="X41" s="65"/>
      <c r="Y41" s="65"/>
    </row>
    <row r="42" spans="1:25" ht="22.5" customHeight="1" x14ac:dyDescent="0.3">
      <c r="A42" s="625" t="s">
        <v>36</v>
      </c>
      <c r="B42" s="625" t="s">
        <v>129</v>
      </c>
      <c r="C42" s="582" t="s">
        <v>21</v>
      </c>
      <c r="D42" s="582"/>
      <c r="E42" s="582"/>
      <c r="F42" s="49"/>
      <c r="G42" s="49"/>
      <c r="H42" s="49"/>
      <c r="I42" s="49"/>
      <c r="J42" s="49"/>
      <c r="K42" s="49"/>
      <c r="L42" s="49"/>
      <c r="M42" s="49"/>
      <c r="N42" s="65"/>
      <c r="O42" s="65"/>
      <c r="P42" s="65"/>
      <c r="Q42" s="65"/>
      <c r="R42" s="65"/>
      <c r="S42" s="65"/>
      <c r="T42" s="65"/>
      <c r="U42" s="65"/>
      <c r="V42" s="65"/>
      <c r="W42" s="65"/>
      <c r="X42" s="65"/>
      <c r="Y42" s="65"/>
    </row>
    <row r="43" spans="1:25" ht="22.5" customHeight="1" x14ac:dyDescent="0.3">
      <c r="A43" s="625"/>
      <c r="B43" s="625"/>
      <c r="C43" s="112" t="s">
        <v>477</v>
      </c>
      <c r="D43" s="112" t="s">
        <v>552</v>
      </c>
      <c r="E43" s="112" t="s">
        <v>579</v>
      </c>
      <c r="F43" s="71"/>
      <c r="G43" s="71"/>
      <c r="H43" s="71"/>
      <c r="I43" s="71"/>
      <c r="J43" s="71"/>
      <c r="K43" s="71"/>
      <c r="L43" s="71"/>
      <c r="M43" s="71"/>
      <c r="N43" s="65"/>
      <c r="O43" s="65"/>
      <c r="P43" s="65"/>
      <c r="Q43" s="65"/>
      <c r="R43" s="65"/>
      <c r="S43" s="65"/>
      <c r="T43" s="65"/>
      <c r="U43" s="65"/>
      <c r="V43" s="65"/>
      <c r="W43" s="65"/>
      <c r="X43" s="65"/>
      <c r="Y43" s="65"/>
    </row>
    <row r="44" spans="1:25" ht="22.5" customHeight="1" x14ac:dyDescent="0.3">
      <c r="A44" s="625"/>
      <c r="B44" s="625"/>
      <c r="C44" s="630" t="s">
        <v>3</v>
      </c>
      <c r="D44" s="630" t="s">
        <v>38</v>
      </c>
      <c r="E44" s="630" t="s">
        <v>39</v>
      </c>
      <c r="F44" s="71"/>
      <c r="G44" s="71"/>
      <c r="H44" s="71"/>
      <c r="I44" s="71"/>
      <c r="J44" s="71"/>
      <c r="K44" s="71"/>
      <c r="L44" s="71"/>
      <c r="M44" s="71"/>
      <c r="N44" s="65"/>
      <c r="O44" s="65"/>
      <c r="P44" s="65"/>
      <c r="Q44" s="65"/>
      <c r="R44" s="65"/>
      <c r="S44" s="65"/>
      <c r="T44" s="65"/>
      <c r="U44" s="65"/>
      <c r="V44" s="65"/>
      <c r="W44" s="65"/>
      <c r="X44" s="65"/>
      <c r="Y44" s="65"/>
    </row>
    <row r="45" spans="1:25" ht="22.5" customHeight="1" x14ac:dyDescent="0.3">
      <c r="A45" s="625"/>
      <c r="B45" s="625"/>
      <c r="C45" s="630"/>
      <c r="D45" s="630"/>
      <c r="E45" s="630"/>
      <c r="F45" s="71"/>
      <c r="G45" s="71"/>
      <c r="H45" s="71"/>
      <c r="I45" s="71"/>
      <c r="J45" s="71"/>
      <c r="K45" s="71"/>
      <c r="L45" s="71"/>
      <c r="M45" s="71"/>
      <c r="N45" s="65"/>
      <c r="O45" s="65"/>
      <c r="P45" s="65"/>
      <c r="Q45" s="65"/>
      <c r="R45" s="65"/>
      <c r="S45" s="65"/>
      <c r="T45" s="65"/>
      <c r="U45" s="65"/>
      <c r="V45" s="65"/>
      <c r="W45" s="65"/>
      <c r="X45" s="65"/>
      <c r="Y45" s="65"/>
    </row>
    <row r="46" spans="1:25" ht="22.5" customHeight="1" x14ac:dyDescent="0.3">
      <c r="A46" s="17">
        <v>1</v>
      </c>
      <c r="B46" s="17">
        <v>2</v>
      </c>
      <c r="C46" s="72" t="s">
        <v>40</v>
      </c>
      <c r="D46" s="72" t="s">
        <v>41</v>
      </c>
      <c r="E46" s="72" t="s">
        <v>42</v>
      </c>
      <c r="F46" s="51"/>
      <c r="G46" s="51"/>
      <c r="H46" s="51"/>
      <c r="I46" s="51"/>
      <c r="J46" s="51"/>
      <c r="K46" s="51"/>
      <c r="L46" s="51"/>
      <c r="M46" s="51"/>
      <c r="N46" s="65"/>
      <c r="O46" s="65"/>
      <c r="P46" s="65"/>
      <c r="Q46" s="65"/>
      <c r="R46" s="65"/>
      <c r="S46" s="65"/>
      <c r="T46" s="65"/>
      <c r="U46" s="65"/>
      <c r="V46" s="65"/>
      <c r="W46" s="65"/>
      <c r="X46" s="65"/>
      <c r="Y46" s="65"/>
    </row>
    <row r="47" spans="1:25" ht="27.75" customHeight="1" x14ac:dyDescent="0.3">
      <c r="A47" s="83" t="s">
        <v>412</v>
      </c>
      <c r="B47" s="70" t="s">
        <v>44</v>
      </c>
      <c r="C47" s="57"/>
      <c r="D47" s="57"/>
      <c r="E47" s="57"/>
      <c r="F47" s="74"/>
      <c r="G47" s="74"/>
      <c r="H47" s="74"/>
      <c r="I47" s="74"/>
      <c r="J47" s="74"/>
      <c r="K47" s="74"/>
      <c r="L47" s="74"/>
      <c r="M47" s="74"/>
      <c r="N47" s="65"/>
      <c r="O47" s="65"/>
      <c r="P47" s="65"/>
      <c r="Q47" s="65"/>
      <c r="R47" s="65"/>
      <c r="S47" s="65"/>
      <c r="T47" s="65"/>
      <c r="U47" s="65"/>
      <c r="V47" s="65"/>
      <c r="W47" s="65"/>
      <c r="X47" s="65"/>
      <c r="Y47" s="65"/>
    </row>
    <row r="48" spans="1:25" ht="35.25" customHeight="1" x14ac:dyDescent="0.3">
      <c r="A48" s="83" t="s">
        <v>413</v>
      </c>
      <c r="B48" s="70" t="s">
        <v>46</v>
      </c>
      <c r="C48" s="57"/>
      <c r="D48" s="57"/>
      <c r="E48" s="57"/>
      <c r="F48" s="74"/>
      <c r="G48" s="74"/>
      <c r="H48" s="74"/>
      <c r="I48" s="74"/>
      <c r="J48" s="74"/>
      <c r="K48" s="74"/>
      <c r="L48" s="74"/>
      <c r="M48" s="74"/>
      <c r="N48" s="65"/>
      <c r="O48" s="65"/>
      <c r="P48" s="65"/>
      <c r="Q48" s="65"/>
      <c r="R48" s="65"/>
      <c r="S48" s="65"/>
      <c r="T48" s="65"/>
      <c r="U48" s="65"/>
      <c r="V48" s="65"/>
      <c r="W48" s="65"/>
      <c r="X48" s="65"/>
      <c r="Y48" s="65"/>
    </row>
    <row r="49" spans="1:25" ht="29.25" customHeight="1" x14ac:dyDescent="0.3">
      <c r="A49" s="83" t="s">
        <v>444</v>
      </c>
      <c r="B49" s="70" t="s">
        <v>48</v>
      </c>
      <c r="C49" s="19">
        <f>C51+C52+C53+C50</f>
        <v>37368277.68</v>
      </c>
      <c r="D49" s="19">
        <f>D51+D52+D53+D50</f>
        <v>37166514.420000002</v>
      </c>
      <c r="E49" s="19">
        <f>E51+E52+E53+E50</f>
        <v>37215562.109999999</v>
      </c>
      <c r="F49" s="74"/>
      <c r="G49" s="74"/>
      <c r="H49" s="74"/>
      <c r="I49" s="74"/>
      <c r="J49" s="74"/>
      <c r="K49" s="74"/>
      <c r="L49" s="74"/>
      <c r="M49" s="74"/>
      <c r="N49" s="65"/>
      <c r="O49" s="65"/>
      <c r="P49" s="65"/>
      <c r="Q49" s="65"/>
      <c r="R49" s="65"/>
      <c r="S49" s="65"/>
      <c r="T49" s="65"/>
      <c r="U49" s="65"/>
      <c r="V49" s="65"/>
      <c r="W49" s="65"/>
      <c r="X49" s="65"/>
      <c r="Y49" s="65"/>
    </row>
    <row r="50" spans="1:25" ht="36.75" customHeight="1" x14ac:dyDescent="0.2">
      <c r="A50" s="83" t="s">
        <v>132</v>
      </c>
      <c r="B50" s="70" t="s">
        <v>113</v>
      </c>
      <c r="C50" s="19">
        <f>I69</f>
        <v>37210075.640000001</v>
      </c>
      <c r="D50" s="19">
        <f>J69</f>
        <v>37103258.420000002</v>
      </c>
      <c r="E50" s="19">
        <f>K69</f>
        <v>37152306.109999999</v>
      </c>
      <c r="F50" s="74"/>
      <c r="G50" s="74"/>
      <c r="H50" s="74"/>
      <c r="I50" s="74"/>
      <c r="J50" s="74"/>
      <c r="K50" s="74"/>
      <c r="L50" s="74"/>
      <c r="M50" s="74"/>
    </row>
    <row r="51" spans="1:25" ht="27" customHeight="1" x14ac:dyDescent="0.2">
      <c r="A51" s="83" t="s">
        <v>445</v>
      </c>
      <c r="B51" s="70" t="s">
        <v>416</v>
      </c>
      <c r="C51" s="19">
        <f>I86</f>
        <v>0</v>
      </c>
      <c r="D51" s="19">
        <f>J86</f>
        <v>0</v>
      </c>
      <c r="E51" s="19">
        <f>K86</f>
        <v>0</v>
      </c>
      <c r="F51" s="74"/>
      <c r="G51" s="74"/>
      <c r="H51" s="74"/>
      <c r="I51" s="74"/>
      <c r="J51" s="74"/>
      <c r="K51" s="74"/>
      <c r="L51" s="74"/>
      <c r="M51" s="74"/>
    </row>
    <row r="52" spans="1:25" ht="38.25" customHeight="1" x14ac:dyDescent="0.2">
      <c r="A52" s="83" t="s">
        <v>446</v>
      </c>
      <c r="B52" s="70" t="s">
        <v>417</v>
      </c>
      <c r="C52" s="19">
        <f>I111</f>
        <v>158202.03999999998</v>
      </c>
      <c r="D52" s="19">
        <f>J111</f>
        <v>63256</v>
      </c>
      <c r="E52" s="19">
        <f>K111</f>
        <v>63256</v>
      </c>
      <c r="F52" s="74"/>
      <c r="G52" s="74"/>
      <c r="H52" s="74"/>
      <c r="I52" s="74"/>
      <c r="J52" s="74"/>
      <c r="K52" s="74"/>
      <c r="L52" s="74"/>
      <c r="M52" s="74"/>
    </row>
    <row r="53" spans="1:25" ht="36.75" customHeight="1" x14ac:dyDescent="0.2">
      <c r="A53" s="83" t="s">
        <v>200</v>
      </c>
      <c r="B53" s="70" t="s">
        <v>418</v>
      </c>
      <c r="C53" s="19">
        <f>I122</f>
        <v>0</v>
      </c>
      <c r="D53" s="19">
        <f>J122</f>
        <v>0</v>
      </c>
      <c r="E53" s="19">
        <f>K122</f>
        <v>0</v>
      </c>
      <c r="F53" s="74"/>
      <c r="G53" s="74"/>
      <c r="H53" s="74"/>
      <c r="I53" s="74"/>
      <c r="J53" s="74"/>
      <c r="K53" s="74"/>
      <c r="L53" s="74"/>
      <c r="M53" s="74"/>
    </row>
    <row r="54" spans="1:25" ht="27" customHeight="1" x14ac:dyDescent="0.2">
      <c r="A54" s="83" t="s">
        <v>429</v>
      </c>
      <c r="B54" s="70" t="s">
        <v>50</v>
      </c>
      <c r="C54" s="57"/>
      <c r="D54" s="57"/>
      <c r="E54" s="57"/>
      <c r="F54" s="74"/>
      <c r="G54" s="74"/>
      <c r="H54" s="74"/>
      <c r="I54" s="74"/>
      <c r="J54" s="74"/>
      <c r="K54" s="74"/>
      <c r="L54" s="74"/>
      <c r="M54" s="74"/>
    </row>
    <row r="55" spans="1:25" ht="45.75" customHeight="1" x14ac:dyDescent="0.2">
      <c r="A55" s="83" t="s">
        <v>430</v>
      </c>
      <c r="B55" s="70" t="s">
        <v>52</v>
      </c>
      <c r="C55" s="57"/>
      <c r="D55" s="57"/>
      <c r="E55" s="57"/>
      <c r="F55" s="74"/>
      <c r="G55" s="74"/>
      <c r="H55" s="74"/>
      <c r="I55" s="74"/>
      <c r="J55" s="74"/>
      <c r="K55" s="74"/>
      <c r="L55" s="74"/>
      <c r="M55" s="74"/>
    </row>
    <row r="56" spans="1:25" ht="42" customHeight="1" x14ac:dyDescent="0.2">
      <c r="A56" s="83" t="s">
        <v>447</v>
      </c>
      <c r="B56" s="70" t="s">
        <v>54</v>
      </c>
      <c r="C56" s="19">
        <f>C47-C48+C49-C54+C55</f>
        <v>37368277.68</v>
      </c>
      <c r="D56" s="19">
        <f>D47-D48+D49-D54+D55</f>
        <v>37166514.420000002</v>
      </c>
      <c r="E56" s="19">
        <f>E47-E48+E49-E54+E55</f>
        <v>37215562.109999999</v>
      </c>
      <c r="F56" s="74"/>
      <c r="G56" s="74"/>
      <c r="H56" s="74"/>
      <c r="I56" s="74"/>
      <c r="J56" s="74"/>
      <c r="K56" s="74"/>
      <c r="L56" s="74"/>
      <c r="M56" s="74"/>
    </row>
    <row r="58" spans="1:25" ht="15.75" x14ac:dyDescent="0.25">
      <c r="A58" s="628" t="s">
        <v>448</v>
      </c>
      <c r="B58" s="628"/>
      <c r="C58" s="628"/>
      <c r="D58" s="628"/>
      <c r="E58" s="628"/>
      <c r="F58" s="628"/>
      <c r="G58" s="628"/>
      <c r="H58" s="628"/>
      <c r="I58" s="628"/>
      <c r="J58" s="628"/>
      <c r="K58" s="628"/>
      <c r="L58" s="628"/>
      <c r="M58" s="628"/>
    </row>
    <row r="59" spans="1:25" x14ac:dyDescent="0.2">
      <c r="A59" s="36"/>
      <c r="B59" s="36"/>
      <c r="C59" s="36"/>
      <c r="D59" s="36"/>
      <c r="E59" s="36"/>
      <c r="F59" s="36"/>
      <c r="G59" s="36"/>
      <c r="H59" s="36"/>
      <c r="I59" s="36"/>
      <c r="J59" s="36"/>
      <c r="K59" s="36"/>
      <c r="L59" s="36"/>
      <c r="M59" s="36"/>
    </row>
    <row r="60" spans="1:25" x14ac:dyDescent="0.2">
      <c r="A60" s="625" t="s">
        <v>449</v>
      </c>
      <c r="B60" s="625" t="s">
        <v>129</v>
      </c>
      <c r="C60" s="625" t="s">
        <v>450</v>
      </c>
      <c r="D60" s="625"/>
      <c r="E60" s="625"/>
      <c r="F60" s="625" t="s">
        <v>451</v>
      </c>
      <c r="G60" s="625"/>
      <c r="H60" s="625"/>
      <c r="I60" s="625" t="s">
        <v>452</v>
      </c>
      <c r="J60" s="625"/>
      <c r="K60" s="625"/>
      <c r="L60" s="49"/>
      <c r="M60" s="49"/>
    </row>
    <row r="61" spans="1:25" x14ac:dyDescent="0.2">
      <c r="A61" s="625"/>
      <c r="B61" s="625"/>
      <c r="C61" s="112" t="s">
        <v>477</v>
      </c>
      <c r="D61" s="112" t="s">
        <v>552</v>
      </c>
      <c r="E61" s="112" t="s">
        <v>579</v>
      </c>
      <c r="F61" s="272" t="s">
        <v>477</v>
      </c>
      <c r="G61" s="272" t="s">
        <v>552</v>
      </c>
      <c r="H61" s="272" t="s">
        <v>579</v>
      </c>
      <c r="I61" s="272" t="s">
        <v>477</v>
      </c>
      <c r="J61" s="272" t="s">
        <v>552</v>
      </c>
      <c r="K61" s="272" t="s">
        <v>579</v>
      </c>
      <c r="L61" s="49"/>
      <c r="M61" s="71"/>
    </row>
    <row r="62" spans="1:25" ht="38.25" x14ac:dyDescent="0.2">
      <c r="A62" s="625"/>
      <c r="B62" s="625"/>
      <c r="C62" s="17" t="s">
        <v>3</v>
      </c>
      <c r="D62" s="17" t="s">
        <v>4</v>
      </c>
      <c r="E62" s="17" t="s">
        <v>5</v>
      </c>
      <c r="F62" s="17" t="s">
        <v>3</v>
      </c>
      <c r="G62" s="17" t="s">
        <v>4</v>
      </c>
      <c r="H62" s="17" t="s">
        <v>5</v>
      </c>
      <c r="I62" s="17" t="s">
        <v>3</v>
      </c>
      <c r="J62" s="17" t="s">
        <v>4</v>
      </c>
      <c r="K62" s="17" t="s">
        <v>5</v>
      </c>
      <c r="L62" s="49"/>
      <c r="M62" s="49"/>
    </row>
    <row r="63" spans="1:25" x14ac:dyDescent="0.2">
      <c r="A63" s="17">
        <v>1</v>
      </c>
      <c r="B63" s="17">
        <v>2</v>
      </c>
      <c r="C63" s="17">
        <v>3</v>
      </c>
      <c r="D63" s="17">
        <v>4</v>
      </c>
      <c r="E63" s="17">
        <v>5</v>
      </c>
      <c r="F63" s="17">
        <v>6</v>
      </c>
      <c r="G63" s="17">
        <v>7</v>
      </c>
      <c r="H63" s="17">
        <v>8</v>
      </c>
      <c r="I63" s="17">
        <v>9</v>
      </c>
      <c r="J63" s="17">
        <v>10</v>
      </c>
      <c r="K63" s="17">
        <v>11</v>
      </c>
      <c r="L63" s="36"/>
      <c r="M63" s="36"/>
    </row>
    <row r="64" spans="1:25" ht="25.5" x14ac:dyDescent="0.2">
      <c r="A64" s="24" t="s">
        <v>464</v>
      </c>
      <c r="B64" s="25" t="s">
        <v>10</v>
      </c>
      <c r="C64" s="19">
        <f>I64/F64</f>
        <v>1</v>
      </c>
      <c r="D64" s="19">
        <f t="shared" ref="D64:E68" si="5">J64/G64</f>
        <v>1</v>
      </c>
      <c r="E64" s="19">
        <f>K64/H64</f>
        <v>1</v>
      </c>
      <c r="F64" s="338">
        <v>19549574.060000002</v>
      </c>
      <c r="G64" s="339">
        <v>19541596.710000001</v>
      </c>
      <c r="H64" s="339">
        <v>19568233.68</v>
      </c>
      <c r="I64" s="337">
        <v>19549574.060000002</v>
      </c>
      <c r="J64" s="117">
        <v>19541596.710000001</v>
      </c>
      <c r="K64" s="117">
        <v>19568233.68</v>
      </c>
      <c r="L64" s="36"/>
      <c r="M64" s="36"/>
    </row>
    <row r="65" spans="1:14" ht="25.5" x14ac:dyDescent="0.2">
      <c r="A65" s="24" t="s">
        <v>465</v>
      </c>
      <c r="B65" s="25" t="s">
        <v>11</v>
      </c>
      <c r="C65" s="19">
        <f>I65/F65</f>
        <v>1</v>
      </c>
      <c r="D65" s="19">
        <f t="shared" si="5"/>
        <v>1</v>
      </c>
      <c r="E65" s="19">
        <f t="shared" si="5"/>
        <v>1</v>
      </c>
      <c r="F65" s="338">
        <v>16351262.58</v>
      </c>
      <c r="G65" s="339">
        <v>16300879.710000001</v>
      </c>
      <c r="H65" s="339">
        <v>16323290.43</v>
      </c>
      <c r="I65" s="337">
        <v>16351262.58</v>
      </c>
      <c r="J65" s="117">
        <v>16300879.710000001</v>
      </c>
      <c r="K65" s="117">
        <v>16323290.43</v>
      </c>
      <c r="L65" s="36"/>
      <c r="M65" s="36"/>
    </row>
    <row r="66" spans="1:14" ht="25.5" x14ac:dyDescent="0.2">
      <c r="A66" s="24" t="s">
        <v>466</v>
      </c>
      <c r="B66" s="25" t="s">
        <v>12</v>
      </c>
      <c r="C66" s="19" t="e">
        <f>I66/F66</f>
        <v>#DIV/0!</v>
      </c>
      <c r="D66" s="19" t="e">
        <f t="shared" si="5"/>
        <v>#DIV/0!</v>
      </c>
      <c r="E66" s="19" t="e">
        <f t="shared" si="5"/>
        <v>#DIV/0!</v>
      </c>
      <c r="F66" s="338">
        <v>0</v>
      </c>
      <c r="G66" s="339">
        <v>0</v>
      </c>
      <c r="H66" s="339">
        <v>0</v>
      </c>
      <c r="I66" s="337">
        <v>0</v>
      </c>
      <c r="J66" s="117">
        <v>0</v>
      </c>
      <c r="K66" s="117">
        <v>0</v>
      </c>
      <c r="L66" s="36"/>
      <c r="M66" s="36"/>
    </row>
    <row r="67" spans="1:14" x14ac:dyDescent="0.2">
      <c r="A67" s="24" t="s">
        <v>468</v>
      </c>
      <c r="B67" s="25" t="s">
        <v>22</v>
      </c>
      <c r="C67" s="19">
        <f>I67/F67</f>
        <v>1</v>
      </c>
      <c r="D67" s="19">
        <f t="shared" si="5"/>
        <v>1</v>
      </c>
      <c r="E67" s="19">
        <f t="shared" si="5"/>
        <v>1</v>
      </c>
      <c r="F67" s="338">
        <v>976095</v>
      </c>
      <c r="G67" s="339">
        <v>816590</v>
      </c>
      <c r="H67" s="339">
        <v>816590</v>
      </c>
      <c r="I67" s="337">
        <v>976095</v>
      </c>
      <c r="J67" s="117">
        <v>816590</v>
      </c>
      <c r="K67" s="117">
        <v>816590</v>
      </c>
      <c r="L67" s="36"/>
      <c r="M67" s="36"/>
    </row>
    <row r="68" spans="1:14" s="101" customFormat="1" x14ac:dyDescent="0.2">
      <c r="A68" s="24" t="s">
        <v>489</v>
      </c>
      <c r="B68" s="25" t="s">
        <v>23</v>
      </c>
      <c r="C68" s="19">
        <f>I68/F68</f>
        <v>1</v>
      </c>
      <c r="D68" s="19">
        <f t="shared" si="5"/>
        <v>1</v>
      </c>
      <c r="E68" s="19">
        <f t="shared" si="5"/>
        <v>1</v>
      </c>
      <c r="F68" s="338">
        <v>333144</v>
      </c>
      <c r="G68" s="339">
        <v>444192</v>
      </c>
      <c r="H68" s="339">
        <v>444192</v>
      </c>
      <c r="I68" s="337">
        <v>333144</v>
      </c>
      <c r="J68" s="117">
        <v>444192</v>
      </c>
      <c r="K68" s="117">
        <v>444192</v>
      </c>
      <c r="L68" s="36"/>
      <c r="M68" s="36"/>
    </row>
    <row r="69" spans="1:14" ht="18" customHeight="1" x14ac:dyDescent="0.2">
      <c r="A69" s="24" t="s">
        <v>71</v>
      </c>
      <c r="B69" s="25" t="s">
        <v>72</v>
      </c>
      <c r="C69" s="281" t="s">
        <v>14</v>
      </c>
      <c r="D69" s="281" t="s">
        <v>14</v>
      </c>
      <c r="E69" s="281" t="s">
        <v>14</v>
      </c>
      <c r="F69" s="281" t="s">
        <v>14</v>
      </c>
      <c r="G69" s="281" t="s">
        <v>14</v>
      </c>
      <c r="H69" s="281" t="s">
        <v>14</v>
      </c>
      <c r="I69" s="117">
        <f>SUM(I64:I68)</f>
        <v>37210075.640000001</v>
      </c>
      <c r="J69" s="117">
        <f t="shared" ref="J69:K69" si="6">SUM(J64:J68)</f>
        <v>37103258.420000002</v>
      </c>
      <c r="K69" s="117">
        <f t="shared" si="6"/>
        <v>37152306.109999999</v>
      </c>
      <c r="L69" s="224">
        <v>37210075.640000001</v>
      </c>
      <c r="M69" s="224">
        <f>I69-L69</f>
        <v>0</v>
      </c>
    </row>
    <row r="70" spans="1:14" x14ac:dyDescent="0.2">
      <c r="A70" s="36"/>
      <c r="B70" s="51"/>
      <c r="C70" s="36"/>
      <c r="D70" s="36"/>
      <c r="E70" s="36"/>
      <c r="F70" s="36"/>
      <c r="G70" s="36"/>
      <c r="H70" s="36"/>
      <c r="I70" s="74">
        <f>I69-SUM(F64:F68)</f>
        <v>0</v>
      </c>
      <c r="J70" s="74">
        <f t="shared" ref="J70:K70" si="7">J69-SUM(G64:G68)</f>
        <v>0</v>
      </c>
      <c r="K70" s="74">
        <f t="shared" si="7"/>
        <v>0</v>
      </c>
      <c r="L70" s="74"/>
      <c r="M70" s="74"/>
      <c r="N70" s="15"/>
    </row>
    <row r="71" spans="1:14" ht="15.75" customHeight="1" x14ac:dyDescent="0.25">
      <c r="A71" s="526" t="s">
        <v>467</v>
      </c>
      <c r="B71" s="526"/>
      <c r="C71" s="526"/>
      <c r="D71" s="526"/>
      <c r="E71" s="526"/>
      <c r="F71" s="87"/>
      <c r="G71" s="87"/>
      <c r="H71" s="87"/>
      <c r="I71" s="273"/>
      <c r="J71" s="273"/>
      <c r="K71" s="273"/>
      <c r="L71" s="87"/>
      <c r="M71" s="273"/>
    </row>
    <row r="72" spans="1:14" x14ac:dyDescent="0.2">
      <c r="A72" s="36"/>
      <c r="B72" s="36"/>
      <c r="C72" s="36"/>
      <c r="D72" s="36"/>
      <c r="E72" s="36"/>
      <c r="F72" s="36"/>
      <c r="G72" s="36"/>
      <c r="H72" s="36"/>
      <c r="I72" s="74"/>
      <c r="J72" s="74"/>
      <c r="K72" s="74"/>
      <c r="L72" s="74"/>
      <c r="M72" s="74"/>
      <c r="N72" s="74"/>
    </row>
    <row r="73" spans="1:14" ht="15.75" customHeight="1" x14ac:dyDescent="0.2">
      <c r="A73" s="625" t="s">
        <v>36</v>
      </c>
      <c r="B73" s="625" t="s">
        <v>129</v>
      </c>
      <c r="C73" s="625" t="s">
        <v>450</v>
      </c>
      <c r="D73" s="625"/>
      <c r="E73" s="625"/>
      <c r="F73" s="625" t="s">
        <v>451</v>
      </c>
      <c r="G73" s="625"/>
      <c r="H73" s="625"/>
      <c r="I73" s="625" t="s">
        <v>452</v>
      </c>
      <c r="J73" s="625"/>
      <c r="K73" s="625"/>
      <c r="L73" s="49"/>
      <c r="M73" s="285"/>
    </row>
    <row r="74" spans="1:14" x14ac:dyDescent="0.2">
      <c r="A74" s="625"/>
      <c r="B74" s="625"/>
      <c r="C74" s="272" t="s">
        <v>477</v>
      </c>
      <c r="D74" s="272" t="s">
        <v>552</v>
      </c>
      <c r="E74" s="272" t="s">
        <v>579</v>
      </c>
      <c r="F74" s="272" t="s">
        <v>477</v>
      </c>
      <c r="G74" s="272" t="s">
        <v>552</v>
      </c>
      <c r="H74" s="272" t="s">
        <v>579</v>
      </c>
      <c r="I74" s="272" t="s">
        <v>477</v>
      </c>
      <c r="J74" s="272" t="s">
        <v>552</v>
      </c>
      <c r="K74" s="272" t="s">
        <v>579</v>
      </c>
      <c r="L74" s="49"/>
      <c r="M74" s="71"/>
    </row>
    <row r="75" spans="1:14" ht="12.75" customHeight="1" x14ac:dyDescent="0.2">
      <c r="A75" s="625"/>
      <c r="B75" s="625"/>
      <c r="C75" s="17" t="s">
        <v>3</v>
      </c>
      <c r="D75" s="17" t="s">
        <v>4</v>
      </c>
      <c r="E75" s="17" t="s">
        <v>5</v>
      </c>
      <c r="F75" s="17" t="s">
        <v>3</v>
      </c>
      <c r="G75" s="17" t="s">
        <v>4</v>
      </c>
      <c r="H75" s="17" t="s">
        <v>5</v>
      </c>
      <c r="I75" s="17" t="s">
        <v>3</v>
      </c>
      <c r="J75" s="17" t="s">
        <v>4</v>
      </c>
      <c r="K75" s="17" t="s">
        <v>5</v>
      </c>
      <c r="L75" s="49"/>
      <c r="M75" s="49"/>
    </row>
    <row r="76" spans="1:14" x14ac:dyDescent="0.2">
      <c r="A76" s="17">
        <v>1</v>
      </c>
      <c r="B76" s="17">
        <v>2</v>
      </c>
      <c r="C76" s="17">
        <v>3</v>
      </c>
      <c r="D76" s="17">
        <v>4</v>
      </c>
      <c r="E76" s="17">
        <v>5</v>
      </c>
      <c r="F76" s="17">
        <v>6</v>
      </c>
      <c r="G76" s="17">
        <v>7</v>
      </c>
      <c r="H76" s="17">
        <v>8</v>
      </c>
      <c r="I76" s="17">
        <v>9</v>
      </c>
      <c r="J76" s="17">
        <v>10</v>
      </c>
      <c r="K76" s="17">
        <v>11</v>
      </c>
      <c r="L76" s="36"/>
      <c r="M76" s="36"/>
    </row>
    <row r="77" spans="1:14" x14ac:dyDescent="0.2">
      <c r="A77" s="24"/>
      <c r="B77" s="25" t="s">
        <v>10</v>
      </c>
      <c r="C77" s="24"/>
      <c r="D77" s="24"/>
      <c r="E77" s="24"/>
      <c r="F77" s="24"/>
      <c r="G77" s="24"/>
      <c r="H77" s="24"/>
      <c r="I77" s="24"/>
      <c r="J77" s="24"/>
      <c r="K77" s="24"/>
      <c r="L77" s="36"/>
      <c r="M77" s="36"/>
    </row>
    <row r="78" spans="1:14" x14ac:dyDescent="0.2">
      <c r="A78" s="24"/>
      <c r="B78" s="25" t="s">
        <v>11</v>
      </c>
      <c r="C78" s="24"/>
      <c r="D78" s="24"/>
      <c r="E78" s="24"/>
      <c r="F78" s="24"/>
      <c r="G78" s="24"/>
      <c r="H78" s="24"/>
      <c r="I78" s="24"/>
      <c r="J78" s="24"/>
      <c r="K78" s="24"/>
      <c r="L78" s="36"/>
      <c r="M78" s="36"/>
    </row>
    <row r="79" spans="1:14" x14ac:dyDescent="0.2">
      <c r="A79" s="24"/>
      <c r="B79" s="25"/>
      <c r="C79" s="24"/>
      <c r="D79" s="24"/>
      <c r="E79" s="24"/>
      <c r="F79" s="24"/>
      <c r="G79" s="24"/>
      <c r="H79" s="24"/>
      <c r="I79" s="24"/>
      <c r="J79" s="24"/>
      <c r="K79" s="24"/>
      <c r="L79" s="36"/>
      <c r="M79" s="36"/>
    </row>
    <row r="80" spans="1:14" x14ac:dyDescent="0.2">
      <c r="A80" s="24"/>
      <c r="B80" s="25"/>
      <c r="C80" s="24"/>
      <c r="D80" s="24"/>
      <c r="E80" s="24"/>
      <c r="F80" s="24"/>
      <c r="G80" s="24"/>
      <c r="H80" s="24"/>
      <c r="I80" s="24"/>
      <c r="J80" s="24"/>
      <c r="K80" s="24"/>
      <c r="L80" s="36"/>
      <c r="M80" s="36"/>
    </row>
    <row r="81" spans="1:13" x14ac:dyDescent="0.2">
      <c r="A81" s="24"/>
      <c r="B81" s="25"/>
      <c r="C81" s="24"/>
      <c r="D81" s="24"/>
      <c r="E81" s="24"/>
      <c r="F81" s="24"/>
      <c r="G81" s="24"/>
      <c r="H81" s="24"/>
      <c r="I81" s="24"/>
      <c r="J81" s="24"/>
      <c r="K81" s="24"/>
      <c r="L81" s="36"/>
      <c r="M81" s="36"/>
    </row>
    <row r="82" spans="1:13" x14ac:dyDescent="0.2">
      <c r="A82" s="24"/>
      <c r="B82" s="25"/>
      <c r="C82" s="24"/>
      <c r="D82" s="24"/>
      <c r="E82" s="24"/>
      <c r="F82" s="24"/>
      <c r="G82" s="24"/>
      <c r="H82" s="24"/>
      <c r="I82" s="24"/>
      <c r="J82" s="24"/>
      <c r="K82" s="24"/>
      <c r="L82" s="36"/>
      <c r="M82" s="36"/>
    </row>
    <row r="83" spans="1:13" x14ac:dyDescent="0.2">
      <c r="A83" s="24"/>
      <c r="B83" s="25"/>
      <c r="C83" s="24"/>
      <c r="D83" s="24"/>
      <c r="E83" s="24"/>
      <c r="F83" s="24"/>
      <c r="G83" s="24"/>
      <c r="H83" s="24"/>
      <c r="I83" s="24"/>
      <c r="J83" s="24"/>
      <c r="K83" s="24"/>
      <c r="L83" s="36"/>
      <c r="M83" s="36"/>
    </row>
    <row r="84" spans="1:13" x14ac:dyDescent="0.2">
      <c r="A84" s="24"/>
      <c r="B84" s="25"/>
      <c r="C84" s="24"/>
      <c r="D84" s="24"/>
      <c r="E84" s="24"/>
      <c r="F84" s="24"/>
      <c r="G84" s="24"/>
      <c r="H84" s="24"/>
      <c r="I84" s="24"/>
      <c r="J84" s="24"/>
      <c r="K84" s="24"/>
      <c r="L84" s="36"/>
      <c r="M84" s="36"/>
    </row>
    <row r="85" spans="1:13" x14ac:dyDescent="0.2">
      <c r="A85" s="24"/>
      <c r="B85" s="25"/>
      <c r="C85" s="24"/>
      <c r="D85" s="24"/>
      <c r="E85" s="24"/>
      <c r="F85" s="24"/>
      <c r="G85" s="24"/>
      <c r="H85" s="24"/>
      <c r="I85" s="24"/>
      <c r="J85" s="24"/>
      <c r="K85" s="24"/>
      <c r="L85" s="36"/>
      <c r="M85" s="36"/>
    </row>
    <row r="86" spans="1:13" x14ac:dyDescent="0.2">
      <c r="A86" s="24" t="s">
        <v>71</v>
      </c>
      <c r="B86" s="25" t="s">
        <v>72</v>
      </c>
      <c r="C86" s="24" t="s">
        <v>14</v>
      </c>
      <c r="D86" s="24" t="s">
        <v>14</v>
      </c>
      <c r="E86" s="24" t="s">
        <v>14</v>
      </c>
      <c r="F86" s="24" t="s">
        <v>14</v>
      </c>
      <c r="G86" s="24" t="s">
        <v>14</v>
      </c>
      <c r="H86" s="24" t="s">
        <v>14</v>
      </c>
      <c r="I86" s="24"/>
      <c r="J86" s="24"/>
      <c r="K86" s="24"/>
      <c r="L86" s="36"/>
      <c r="M86" s="36"/>
    </row>
    <row r="88" spans="1:13" ht="15.75" x14ac:dyDescent="0.25">
      <c r="A88" s="631" t="s">
        <v>453</v>
      </c>
      <c r="B88" s="631"/>
      <c r="C88" s="631"/>
      <c r="D88" s="631"/>
      <c r="E88" s="631"/>
      <c r="F88" s="631"/>
      <c r="G88" s="631"/>
      <c r="H88" s="631"/>
      <c r="I88" s="631"/>
      <c r="J88" s="631"/>
      <c r="K88" s="631"/>
      <c r="L88" s="631"/>
      <c r="M88" s="631"/>
    </row>
    <row r="89" spans="1:13" x14ac:dyDescent="0.2">
      <c r="A89" s="36"/>
      <c r="B89" s="36"/>
      <c r="C89" s="36"/>
      <c r="D89" s="36"/>
      <c r="E89" s="36"/>
      <c r="F89" s="36"/>
      <c r="G89" s="36"/>
      <c r="H89" s="36"/>
      <c r="I89" s="36"/>
      <c r="J89" s="36"/>
      <c r="K89" s="36"/>
      <c r="L89" s="36"/>
      <c r="M89" s="36"/>
    </row>
    <row r="90" spans="1:13" x14ac:dyDescent="0.2">
      <c r="A90" s="488" t="s">
        <v>36</v>
      </c>
      <c r="B90" s="488" t="s">
        <v>129</v>
      </c>
      <c r="C90" s="632" t="s">
        <v>450</v>
      </c>
      <c r="D90" s="633"/>
      <c r="E90" s="634"/>
      <c r="F90" s="632" t="s">
        <v>451</v>
      </c>
      <c r="G90" s="633"/>
      <c r="H90" s="634"/>
      <c r="I90" s="632" t="s">
        <v>452</v>
      </c>
      <c r="J90" s="633"/>
      <c r="K90" s="634"/>
      <c r="L90" s="49"/>
      <c r="M90" s="49"/>
    </row>
    <row r="91" spans="1:13" x14ac:dyDescent="0.2">
      <c r="A91" s="489"/>
      <c r="B91" s="489"/>
      <c r="C91" s="272" t="s">
        <v>477</v>
      </c>
      <c r="D91" s="272" t="s">
        <v>552</v>
      </c>
      <c r="E91" s="272" t="s">
        <v>579</v>
      </c>
      <c r="F91" s="272" t="s">
        <v>477</v>
      </c>
      <c r="G91" s="272" t="s">
        <v>552</v>
      </c>
      <c r="H91" s="272" t="s">
        <v>579</v>
      </c>
      <c r="I91" s="272" t="s">
        <v>477</v>
      </c>
      <c r="J91" s="272" t="s">
        <v>552</v>
      </c>
      <c r="K91" s="272" t="s">
        <v>579</v>
      </c>
      <c r="L91" s="49"/>
      <c r="M91" s="71"/>
    </row>
    <row r="92" spans="1:13" ht="38.25" x14ac:dyDescent="0.2">
      <c r="A92" s="490"/>
      <c r="B92" s="490"/>
      <c r="C92" s="17" t="s">
        <v>3</v>
      </c>
      <c r="D92" s="17" t="s">
        <v>4</v>
      </c>
      <c r="E92" s="17" t="s">
        <v>5</v>
      </c>
      <c r="F92" s="17" t="s">
        <v>3</v>
      </c>
      <c r="G92" s="17" t="s">
        <v>4</v>
      </c>
      <c r="H92" s="17" t="s">
        <v>5</v>
      </c>
      <c r="I92" s="17" t="s">
        <v>3</v>
      </c>
      <c r="J92" s="17" t="s">
        <v>4</v>
      </c>
      <c r="K92" s="17" t="s">
        <v>5</v>
      </c>
      <c r="L92" s="49"/>
      <c r="M92" s="49"/>
    </row>
    <row r="93" spans="1:13" x14ac:dyDescent="0.2">
      <c r="A93" s="17">
        <v>1</v>
      </c>
      <c r="B93" s="17">
        <v>2</v>
      </c>
      <c r="C93" s="17">
        <v>3</v>
      </c>
      <c r="D93" s="17">
        <v>4</v>
      </c>
      <c r="E93" s="17">
        <v>5</v>
      </c>
      <c r="F93" s="17">
        <v>6</v>
      </c>
      <c r="G93" s="17">
        <v>7</v>
      </c>
      <c r="H93" s="17">
        <v>8</v>
      </c>
      <c r="I93" s="17">
        <v>9</v>
      </c>
      <c r="J93" s="17">
        <v>10</v>
      </c>
      <c r="K93" s="17">
        <v>11</v>
      </c>
      <c r="L93" s="36"/>
      <c r="M93" s="36"/>
    </row>
    <row r="94" spans="1:13" x14ac:dyDescent="0.2">
      <c r="A94" s="354" t="s">
        <v>572</v>
      </c>
      <c r="B94" s="147" t="s">
        <v>10</v>
      </c>
      <c r="C94" s="349" t="e">
        <f>I94/F94</f>
        <v>#DIV/0!</v>
      </c>
      <c r="D94" s="349">
        <v>79.319999999999993</v>
      </c>
      <c r="E94" s="349">
        <v>79.319999999999993</v>
      </c>
      <c r="F94" s="350">
        <v>0</v>
      </c>
      <c r="G94" s="350">
        <v>0</v>
      </c>
      <c r="H94" s="350">
        <v>0</v>
      </c>
      <c r="I94" s="349">
        <f>'раздел 1_2'!I37</f>
        <v>94946.04</v>
      </c>
      <c r="J94" s="349">
        <f>'раздел 1_2'!K37</f>
        <v>0</v>
      </c>
      <c r="K94" s="349">
        <f>'раздел 1_2'!M37</f>
        <v>0</v>
      </c>
      <c r="L94" s="228">
        <v>591360</v>
      </c>
      <c r="M94" s="36"/>
    </row>
    <row r="95" spans="1:13" x14ac:dyDescent="0.2">
      <c r="A95" s="354" t="s">
        <v>616</v>
      </c>
      <c r="B95" s="147" t="s">
        <v>11</v>
      </c>
      <c r="C95" s="349"/>
      <c r="D95" s="349"/>
      <c r="E95" s="349"/>
      <c r="F95" s="350"/>
      <c r="G95" s="350"/>
      <c r="H95" s="350"/>
      <c r="I95" s="349">
        <f>SUM(I98:I99)</f>
        <v>63256</v>
      </c>
      <c r="J95" s="349">
        <f t="shared" ref="J95:K95" si="8">SUM(J98:J99)</f>
        <v>63256</v>
      </c>
      <c r="K95" s="349">
        <f t="shared" si="8"/>
        <v>63256</v>
      </c>
      <c r="L95" s="228">
        <v>1036800</v>
      </c>
      <c r="M95" s="36"/>
    </row>
    <row r="96" spans="1:13" x14ac:dyDescent="0.2">
      <c r="A96" s="354" t="s">
        <v>617</v>
      </c>
      <c r="B96" s="147" t="s">
        <v>12</v>
      </c>
      <c r="C96" s="349">
        <v>0</v>
      </c>
      <c r="D96" s="349">
        <v>0</v>
      </c>
      <c r="E96" s="349">
        <v>0</v>
      </c>
      <c r="F96" s="350"/>
      <c r="G96" s="350">
        <f>F96</f>
        <v>0</v>
      </c>
      <c r="H96" s="350">
        <f>F96</f>
        <v>0</v>
      </c>
      <c r="I96" s="349"/>
      <c r="J96" s="349"/>
      <c r="K96" s="349"/>
      <c r="L96" s="228">
        <v>445440</v>
      </c>
      <c r="M96" s="36"/>
    </row>
    <row r="97" spans="1:13" s="227" customFormat="1" ht="28.5" customHeight="1" x14ac:dyDescent="0.2">
      <c r="A97" s="354" t="s">
        <v>438</v>
      </c>
      <c r="B97" s="147"/>
      <c r="C97" s="349"/>
      <c r="D97" s="349"/>
      <c r="E97" s="349"/>
      <c r="F97" s="350"/>
      <c r="G97" s="350"/>
      <c r="H97" s="350"/>
      <c r="I97" s="349"/>
      <c r="J97" s="349"/>
      <c r="K97" s="349"/>
      <c r="L97" s="228"/>
      <c r="M97" s="36"/>
    </row>
    <row r="98" spans="1:13" s="227" customFormat="1" ht="31.5" customHeight="1" x14ac:dyDescent="0.2">
      <c r="A98" s="354" t="s">
        <v>618</v>
      </c>
      <c r="B98" s="147"/>
      <c r="C98" s="349">
        <v>145</v>
      </c>
      <c r="D98" s="349">
        <v>145</v>
      </c>
      <c r="E98" s="349">
        <v>145</v>
      </c>
      <c r="F98" s="350">
        <f>I98/C98</f>
        <v>320</v>
      </c>
      <c r="G98" s="350">
        <f t="shared" ref="G98:H99" si="9">J98/D98</f>
        <v>320</v>
      </c>
      <c r="H98" s="350">
        <f t="shared" si="9"/>
        <v>320</v>
      </c>
      <c r="I98" s="349">
        <v>46400</v>
      </c>
      <c r="J98" s="349">
        <v>46400</v>
      </c>
      <c r="K98" s="349">
        <v>46400</v>
      </c>
      <c r="L98" s="228"/>
      <c r="M98" s="36"/>
    </row>
    <row r="99" spans="1:13" s="227" customFormat="1" ht="21" customHeight="1" x14ac:dyDescent="0.2">
      <c r="A99" s="354" t="s">
        <v>619</v>
      </c>
      <c r="B99" s="147"/>
      <c r="C99" s="349">
        <v>210.7</v>
      </c>
      <c r="D99" s="349">
        <v>210.7</v>
      </c>
      <c r="E99" s="349">
        <v>210.7</v>
      </c>
      <c r="F99" s="350">
        <f>I99/C99</f>
        <v>80</v>
      </c>
      <c r="G99" s="350">
        <f t="shared" si="9"/>
        <v>80</v>
      </c>
      <c r="H99" s="350">
        <f t="shared" si="9"/>
        <v>80</v>
      </c>
      <c r="I99" s="349">
        <v>16856</v>
      </c>
      <c r="J99" s="349">
        <v>16856</v>
      </c>
      <c r="K99" s="349">
        <v>16856</v>
      </c>
      <c r="L99" s="228"/>
      <c r="M99" s="36"/>
    </row>
    <row r="100" spans="1:13" s="227" customFormat="1" ht="21" customHeight="1" x14ac:dyDescent="0.2">
      <c r="A100" s="43"/>
      <c r="B100" s="348" t="s">
        <v>25</v>
      </c>
      <c r="C100" s="349"/>
      <c r="D100" s="349"/>
      <c r="E100" s="349"/>
      <c r="F100" s="350"/>
      <c r="G100" s="350"/>
      <c r="H100" s="350"/>
      <c r="I100" s="357">
        <f t="shared" ref="I100:I110" si="10">C100*F100</f>
        <v>0</v>
      </c>
      <c r="J100" s="352">
        <f t="shared" ref="J100:J110" si="11">D100*G100</f>
        <v>0</v>
      </c>
      <c r="K100" s="352">
        <f t="shared" ref="K100:K110" si="12">E100*H100</f>
        <v>0</v>
      </c>
      <c r="L100" s="228"/>
      <c r="M100" s="36"/>
    </row>
    <row r="101" spans="1:13" s="227" customFormat="1" ht="21" customHeight="1" x14ac:dyDescent="0.2">
      <c r="A101" s="43"/>
      <c r="B101" s="348" t="s">
        <v>26</v>
      </c>
      <c r="C101" s="349"/>
      <c r="D101" s="349"/>
      <c r="E101" s="349"/>
      <c r="F101" s="350"/>
      <c r="G101" s="350"/>
      <c r="H101" s="350"/>
      <c r="I101" s="357">
        <f t="shared" si="10"/>
        <v>0</v>
      </c>
      <c r="J101" s="352">
        <f t="shared" si="11"/>
        <v>0</v>
      </c>
      <c r="K101" s="352">
        <f t="shared" si="12"/>
        <v>0</v>
      </c>
      <c r="L101" s="228"/>
      <c r="M101" s="36"/>
    </row>
    <row r="102" spans="1:13" s="227" customFormat="1" ht="21" customHeight="1" x14ac:dyDescent="0.2">
      <c r="A102" s="43"/>
      <c r="B102" s="348" t="s">
        <v>27</v>
      </c>
      <c r="C102" s="349"/>
      <c r="D102" s="349"/>
      <c r="E102" s="349"/>
      <c r="F102" s="350"/>
      <c r="G102" s="350"/>
      <c r="H102" s="350"/>
      <c r="I102" s="357">
        <f t="shared" si="10"/>
        <v>0</v>
      </c>
      <c r="J102" s="352">
        <f t="shared" si="11"/>
        <v>0</v>
      </c>
      <c r="K102" s="352">
        <f t="shared" si="12"/>
        <v>0</v>
      </c>
      <c r="L102" s="228"/>
      <c r="M102" s="36"/>
    </row>
    <row r="103" spans="1:13" s="227" customFormat="1" ht="21" customHeight="1" x14ac:dyDescent="0.2">
      <c r="A103" s="43"/>
      <c r="B103" s="348" t="s">
        <v>28</v>
      </c>
      <c r="C103" s="349"/>
      <c r="D103" s="349"/>
      <c r="E103" s="349"/>
      <c r="F103" s="350"/>
      <c r="G103" s="350"/>
      <c r="H103" s="350"/>
      <c r="I103" s="357">
        <f t="shared" si="10"/>
        <v>0</v>
      </c>
      <c r="J103" s="352">
        <f t="shared" si="11"/>
        <v>0</v>
      </c>
      <c r="K103" s="352">
        <f t="shared" si="12"/>
        <v>0</v>
      </c>
      <c r="L103" s="228"/>
      <c r="M103" s="36"/>
    </row>
    <row r="104" spans="1:13" ht="21" customHeight="1" x14ac:dyDescent="0.2">
      <c r="A104" s="24"/>
      <c r="B104" s="25" t="s">
        <v>29</v>
      </c>
      <c r="C104" s="19"/>
      <c r="D104" s="19"/>
      <c r="E104" s="19"/>
      <c r="F104" s="85"/>
      <c r="G104" s="85"/>
      <c r="H104" s="85"/>
      <c r="I104" s="347">
        <f t="shared" si="10"/>
        <v>0</v>
      </c>
      <c r="J104" s="84">
        <f t="shared" si="11"/>
        <v>0</v>
      </c>
      <c r="K104" s="84">
        <f t="shared" si="12"/>
        <v>0</v>
      </c>
      <c r="L104" s="228"/>
      <c r="M104" s="36"/>
    </row>
    <row r="105" spans="1:13" ht="21" customHeight="1" x14ac:dyDescent="0.2">
      <c r="A105" s="24"/>
      <c r="B105" s="25" t="s">
        <v>23</v>
      </c>
      <c r="C105" s="19"/>
      <c r="D105" s="19"/>
      <c r="E105" s="19"/>
      <c r="F105" s="85"/>
      <c r="G105" s="85"/>
      <c r="H105" s="85"/>
      <c r="I105" s="347">
        <f t="shared" si="10"/>
        <v>0</v>
      </c>
      <c r="J105" s="84">
        <f t="shared" si="11"/>
        <v>0</v>
      </c>
      <c r="K105" s="84">
        <f t="shared" si="12"/>
        <v>0</v>
      </c>
      <c r="L105" s="36"/>
      <c r="M105" s="36"/>
    </row>
    <row r="106" spans="1:13" ht="21" customHeight="1" x14ac:dyDescent="0.2">
      <c r="A106" s="24"/>
      <c r="B106" s="25" t="s">
        <v>24</v>
      </c>
      <c r="C106" s="19"/>
      <c r="D106" s="19"/>
      <c r="E106" s="19"/>
      <c r="F106" s="85"/>
      <c r="G106" s="85"/>
      <c r="H106" s="85"/>
      <c r="I106" s="347">
        <f t="shared" si="10"/>
        <v>0</v>
      </c>
      <c r="J106" s="84">
        <f t="shared" si="11"/>
        <v>0</v>
      </c>
      <c r="K106" s="84">
        <f t="shared" si="12"/>
        <v>0</v>
      </c>
      <c r="L106" s="36"/>
      <c r="M106" s="36"/>
    </row>
    <row r="107" spans="1:13" ht="21" customHeight="1" x14ac:dyDescent="0.2">
      <c r="A107" s="24"/>
      <c r="B107" s="25" t="s">
        <v>25</v>
      </c>
      <c r="C107" s="19"/>
      <c r="D107" s="19"/>
      <c r="E107" s="19"/>
      <c r="F107" s="85"/>
      <c r="G107" s="85"/>
      <c r="H107" s="85"/>
      <c r="I107" s="347">
        <f t="shared" si="10"/>
        <v>0</v>
      </c>
      <c r="J107" s="84">
        <f t="shared" si="11"/>
        <v>0</v>
      </c>
      <c r="K107" s="84">
        <f t="shared" si="12"/>
        <v>0</v>
      </c>
      <c r="L107" s="36"/>
      <c r="M107" s="36"/>
    </row>
    <row r="108" spans="1:13" ht="21" customHeight="1" x14ac:dyDescent="0.2">
      <c r="A108" s="24"/>
      <c r="B108" s="25" t="s">
        <v>26</v>
      </c>
      <c r="C108" s="19"/>
      <c r="D108" s="19"/>
      <c r="E108" s="19"/>
      <c r="F108" s="85"/>
      <c r="G108" s="85"/>
      <c r="H108" s="85"/>
      <c r="I108" s="347">
        <f t="shared" si="10"/>
        <v>0</v>
      </c>
      <c r="J108" s="84">
        <f t="shared" si="11"/>
        <v>0</v>
      </c>
      <c r="K108" s="84">
        <f t="shared" si="12"/>
        <v>0</v>
      </c>
      <c r="L108" s="36"/>
      <c r="M108" s="36"/>
    </row>
    <row r="109" spans="1:13" ht="21" customHeight="1" x14ac:dyDescent="0.2">
      <c r="A109" s="24"/>
      <c r="B109" s="25" t="s">
        <v>27</v>
      </c>
      <c r="C109" s="19"/>
      <c r="D109" s="19"/>
      <c r="E109" s="19"/>
      <c r="F109" s="85"/>
      <c r="G109" s="85"/>
      <c r="H109" s="85"/>
      <c r="I109" s="347">
        <f t="shared" si="10"/>
        <v>0</v>
      </c>
      <c r="J109" s="84">
        <f t="shared" si="11"/>
        <v>0</v>
      </c>
      <c r="K109" s="84">
        <f t="shared" si="12"/>
        <v>0</v>
      </c>
      <c r="L109" s="36"/>
      <c r="M109" s="36"/>
    </row>
    <row r="110" spans="1:13" ht="21" customHeight="1" x14ac:dyDescent="0.2">
      <c r="A110" s="24"/>
      <c r="B110" s="25" t="s">
        <v>28</v>
      </c>
      <c r="C110" s="19"/>
      <c r="D110" s="19"/>
      <c r="E110" s="19"/>
      <c r="F110" s="85"/>
      <c r="G110" s="85"/>
      <c r="H110" s="85"/>
      <c r="I110" s="347">
        <f t="shared" si="10"/>
        <v>0</v>
      </c>
      <c r="J110" s="84">
        <f t="shared" si="11"/>
        <v>0</v>
      </c>
      <c r="K110" s="84">
        <f t="shared" si="12"/>
        <v>0</v>
      </c>
      <c r="L110" s="36"/>
      <c r="M110" s="36"/>
    </row>
    <row r="111" spans="1:13" ht="22.5" customHeight="1" x14ac:dyDescent="0.2">
      <c r="A111" s="356" t="s">
        <v>71</v>
      </c>
      <c r="B111" s="25" t="s">
        <v>72</v>
      </c>
      <c r="C111" s="341" t="s">
        <v>14</v>
      </c>
      <c r="D111" s="341" t="s">
        <v>14</v>
      </c>
      <c r="E111" s="341" t="s">
        <v>14</v>
      </c>
      <c r="F111" s="341" t="s">
        <v>14</v>
      </c>
      <c r="G111" s="341" t="s">
        <v>14</v>
      </c>
      <c r="H111" s="341" t="s">
        <v>14</v>
      </c>
      <c r="I111" s="355">
        <f>I94+I95+I96</f>
        <v>158202.03999999998</v>
      </c>
      <c r="J111" s="355">
        <f t="shared" ref="J111:K111" si="13">J94+J95+J96</f>
        <v>63256</v>
      </c>
      <c r="K111" s="355">
        <f t="shared" si="13"/>
        <v>63256</v>
      </c>
      <c r="L111" s="36"/>
      <c r="M111" s="36"/>
    </row>
    <row r="112" spans="1:13" x14ac:dyDescent="0.2">
      <c r="I112" s="15"/>
      <c r="J112" s="15"/>
      <c r="K112" s="15"/>
    </row>
    <row r="113" spans="1:13" ht="15.75" x14ac:dyDescent="0.25">
      <c r="A113" s="628" t="s">
        <v>454</v>
      </c>
      <c r="B113" s="628"/>
      <c r="C113" s="628"/>
      <c r="D113" s="628"/>
      <c r="E113" s="628"/>
      <c r="F113" s="628"/>
      <c r="G113" s="628"/>
      <c r="H113" s="628"/>
      <c r="I113" s="628"/>
      <c r="J113" s="628"/>
      <c r="K113" s="628"/>
      <c r="L113" s="628"/>
      <c r="M113" s="628"/>
    </row>
    <row r="114" spans="1:13" x14ac:dyDescent="0.2">
      <c r="A114" s="36"/>
      <c r="B114" s="36"/>
      <c r="C114" s="36"/>
      <c r="D114" s="36"/>
      <c r="E114" s="36"/>
      <c r="F114" s="36"/>
      <c r="G114" s="36"/>
      <c r="H114" s="36"/>
      <c r="I114" s="36"/>
      <c r="J114" s="36"/>
      <c r="K114" s="36"/>
      <c r="L114" s="36"/>
      <c r="M114" s="36"/>
    </row>
    <row r="115" spans="1:13" ht="21" customHeight="1" x14ac:dyDescent="0.2">
      <c r="A115" s="453" t="s">
        <v>455</v>
      </c>
      <c r="B115" s="453" t="s">
        <v>129</v>
      </c>
      <c r="C115" s="453" t="s">
        <v>450</v>
      </c>
      <c r="D115" s="453"/>
      <c r="E115" s="453"/>
      <c r="F115" s="453" t="s">
        <v>456</v>
      </c>
      <c r="G115" s="453"/>
      <c r="H115" s="453"/>
      <c r="I115" s="453" t="s">
        <v>452</v>
      </c>
      <c r="J115" s="453"/>
      <c r="K115" s="453"/>
      <c r="L115" s="49"/>
      <c r="M115" s="49"/>
    </row>
    <row r="116" spans="1:13" ht="22.5" customHeight="1" x14ac:dyDescent="0.2">
      <c r="A116" s="453"/>
      <c r="B116" s="453"/>
      <c r="C116" s="272" t="s">
        <v>477</v>
      </c>
      <c r="D116" s="272" t="s">
        <v>552</v>
      </c>
      <c r="E116" s="272" t="s">
        <v>579</v>
      </c>
      <c r="F116" s="272" t="s">
        <v>477</v>
      </c>
      <c r="G116" s="272" t="s">
        <v>552</v>
      </c>
      <c r="H116" s="272" t="s">
        <v>579</v>
      </c>
      <c r="I116" s="272" t="s">
        <v>477</v>
      </c>
      <c r="J116" s="272" t="s">
        <v>552</v>
      </c>
      <c r="K116" s="272" t="s">
        <v>579</v>
      </c>
      <c r="L116" s="49"/>
      <c r="M116" s="71"/>
    </row>
    <row r="117" spans="1:13" ht="38.25" x14ac:dyDescent="0.2">
      <c r="A117" s="453"/>
      <c r="B117" s="453"/>
      <c r="C117" s="8" t="s">
        <v>3</v>
      </c>
      <c r="D117" s="8" t="s">
        <v>4</v>
      </c>
      <c r="E117" s="8" t="s">
        <v>5</v>
      </c>
      <c r="F117" s="8" t="s">
        <v>3</v>
      </c>
      <c r="G117" s="8" t="s">
        <v>4</v>
      </c>
      <c r="H117" s="8" t="s">
        <v>5</v>
      </c>
      <c r="I117" s="8" t="s">
        <v>3</v>
      </c>
      <c r="J117" s="8" t="s">
        <v>4</v>
      </c>
      <c r="K117" s="8" t="s">
        <v>5</v>
      </c>
      <c r="L117" s="49"/>
      <c r="M117" s="49"/>
    </row>
    <row r="118" spans="1:13" x14ac:dyDescent="0.2">
      <c r="A118" s="8">
        <v>1</v>
      </c>
      <c r="B118" s="8">
        <v>2</v>
      </c>
      <c r="C118" s="8">
        <v>3</v>
      </c>
      <c r="D118" s="8">
        <v>4</v>
      </c>
      <c r="E118" s="8">
        <v>5</v>
      </c>
      <c r="F118" s="8">
        <v>6</v>
      </c>
      <c r="G118" s="8">
        <v>7</v>
      </c>
      <c r="H118" s="8">
        <v>8</v>
      </c>
      <c r="I118" s="8">
        <v>9</v>
      </c>
      <c r="J118" s="8">
        <v>10</v>
      </c>
      <c r="K118" s="8">
        <v>11</v>
      </c>
      <c r="L118" s="36"/>
      <c r="M118" s="36"/>
    </row>
    <row r="119" spans="1:13" ht="24" customHeight="1" x14ac:dyDescent="0.2">
      <c r="A119" s="24" t="s">
        <v>469</v>
      </c>
      <c r="B119" s="25" t="s">
        <v>10</v>
      </c>
      <c r="C119" s="351">
        <v>2107.59</v>
      </c>
      <c r="D119" s="351">
        <v>2107.59</v>
      </c>
      <c r="E119" s="351">
        <v>2107.59</v>
      </c>
      <c r="F119" s="351">
        <f>I119/C119</f>
        <v>0</v>
      </c>
      <c r="G119" s="351">
        <f t="shared" ref="G119:H119" si="14">J119/D119</f>
        <v>0</v>
      </c>
      <c r="H119" s="351">
        <f t="shared" si="14"/>
        <v>0</v>
      </c>
      <c r="I119" s="57">
        <f>'раздел 1_2'!I36</f>
        <v>0</v>
      </c>
      <c r="J119" s="57">
        <f>'раздел 1_2'!K36</f>
        <v>0</v>
      </c>
      <c r="K119" s="57">
        <f>'раздел 1_2'!M36</f>
        <v>0</v>
      </c>
      <c r="L119" s="36"/>
      <c r="M119" s="36"/>
    </row>
    <row r="120" spans="1:13" ht="21" customHeight="1" x14ac:dyDescent="0.2">
      <c r="A120" s="24" t="s">
        <v>470</v>
      </c>
      <c r="B120" s="25" t="s">
        <v>11</v>
      </c>
      <c r="C120" s="58"/>
      <c r="D120" s="58"/>
      <c r="E120" s="58"/>
      <c r="F120" s="24"/>
      <c r="G120" s="24"/>
      <c r="H120" s="24"/>
      <c r="I120" s="24"/>
      <c r="J120" s="24"/>
      <c r="K120" s="24"/>
      <c r="L120" s="36"/>
      <c r="M120" s="36"/>
    </row>
    <row r="121" spans="1:13" ht="19.5" customHeight="1" x14ac:dyDescent="0.2">
      <c r="A121" s="24"/>
      <c r="B121" s="25"/>
      <c r="C121" s="24"/>
      <c r="D121" s="24"/>
      <c r="E121" s="24"/>
      <c r="F121" s="24"/>
      <c r="G121" s="24"/>
      <c r="H121" s="24"/>
      <c r="I121" s="24"/>
      <c r="J121" s="24"/>
      <c r="K121" s="24"/>
      <c r="L121" s="36"/>
      <c r="M121" s="36"/>
    </row>
    <row r="122" spans="1:13" ht="22.5" customHeight="1" x14ac:dyDescent="0.2">
      <c r="A122" s="24" t="s">
        <v>71</v>
      </c>
      <c r="B122" s="25" t="s">
        <v>72</v>
      </c>
      <c r="C122" s="24" t="s">
        <v>14</v>
      </c>
      <c r="D122" s="24" t="s">
        <v>14</v>
      </c>
      <c r="E122" s="24" t="s">
        <v>14</v>
      </c>
      <c r="F122" s="24" t="s">
        <v>14</v>
      </c>
      <c r="G122" s="24" t="s">
        <v>14</v>
      </c>
      <c r="H122" s="24" t="s">
        <v>14</v>
      </c>
      <c r="I122" s="24">
        <f>I119+I120</f>
        <v>0</v>
      </c>
      <c r="J122" s="24">
        <f>J119+J120</f>
        <v>0</v>
      </c>
      <c r="K122" s="24">
        <f>K119+K120</f>
        <v>0</v>
      </c>
      <c r="L122" s="36"/>
      <c r="M122" s="36"/>
    </row>
    <row r="124" spans="1:13" ht="15.75" x14ac:dyDescent="0.25">
      <c r="A124" s="624" t="s">
        <v>457</v>
      </c>
      <c r="B124" s="624"/>
      <c r="C124" s="624"/>
      <c r="D124" s="624"/>
      <c r="E124" s="624"/>
      <c r="F124" s="624"/>
      <c r="G124" s="624"/>
      <c r="H124" s="624"/>
      <c r="I124" s="624"/>
      <c r="J124" s="624"/>
      <c r="K124" s="624"/>
      <c r="L124" s="624"/>
      <c r="M124" s="624"/>
    </row>
    <row r="125" spans="1:13" ht="15.75" x14ac:dyDescent="0.25">
      <c r="A125" s="628" t="s">
        <v>458</v>
      </c>
      <c r="B125" s="628"/>
      <c r="C125" s="628"/>
      <c r="D125" s="628"/>
      <c r="E125" s="628"/>
      <c r="F125" s="628"/>
      <c r="G125" s="628"/>
      <c r="H125" s="628"/>
      <c r="I125" s="628"/>
      <c r="J125" s="628"/>
      <c r="K125" s="628"/>
      <c r="L125" s="628"/>
      <c r="M125" s="628"/>
    </row>
    <row r="126" spans="1:13" x14ac:dyDescent="0.2">
      <c r="A126" s="36"/>
      <c r="B126" s="36"/>
      <c r="C126" s="36"/>
      <c r="D126" s="36"/>
      <c r="E126" s="36"/>
      <c r="F126" s="36"/>
      <c r="G126" s="36"/>
      <c r="H126" s="36"/>
      <c r="I126" s="36"/>
      <c r="J126" s="36"/>
      <c r="K126" s="36"/>
      <c r="L126" s="36"/>
      <c r="M126" s="36"/>
    </row>
    <row r="127" spans="1:13" x14ac:dyDescent="0.2">
      <c r="A127" s="453" t="s">
        <v>36</v>
      </c>
      <c r="B127" s="453" t="s">
        <v>129</v>
      </c>
      <c r="C127" s="453" t="s">
        <v>21</v>
      </c>
      <c r="D127" s="453"/>
      <c r="E127" s="453"/>
      <c r="F127" s="49"/>
      <c r="G127" s="49"/>
      <c r="H127" s="49"/>
      <c r="I127" s="49"/>
      <c r="J127" s="49"/>
      <c r="K127" s="49"/>
      <c r="L127" s="49"/>
      <c r="M127" s="49"/>
    </row>
    <row r="128" spans="1:13" x14ac:dyDescent="0.2">
      <c r="A128" s="453"/>
      <c r="B128" s="453"/>
      <c r="C128" s="272" t="s">
        <v>477</v>
      </c>
      <c r="D128" s="272" t="s">
        <v>552</v>
      </c>
      <c r="E128" s="272" t="s">
        <v>579</v>
      </c>
      <c r="F128" s="71"/>
      <c r="G128" s="71"/>
      <c r="H128" s="71"/>
      <c r="I128" s="71"/>
      <c r="J128" s="71"/>
      <c r="K128" s="71"/>
      <c r="L128" s="71"/>
      <c r="M128" s="71"/>
    </row>
    <row r="129" spans="1:13" x14ac:dyDescent="0.2">
      <c r="A129" s="453"/>
      <c r="B129" s="453"/>
      <c r="C129" s="635" t="s">
        <v>37</v>
      </c>
      <c r="D129" s="635" t="s">
        <v>38</v>
      </c>
      <c r="E129" s="635" t="s">
        <v>39</v>
      </c>
      <c r="F129" s="71"/>
      <c r="G129" s="71"/>
      <c r="H129" s="71"/>
      <c r="I129" s="71"/>
      <c r="J129" s="71"/>
      <c r="K129" s="71"/>
      <c r="L129" s="71"/>
      <c r="M129" s="71"/>
    </row>
    <row r="130" spans="1:13" x14ac:dyDescent="0.2">
      <c r="A130" s="453"/>
      <c r="B130" s="453"/>
      <c r="C130" s="635"/>
      <c r="D130" s="635"/>
      <c r="E130" s="635"/>
      <c r="F130" s="71"/>
      <c r="G130" s="71"/>
      <c r="H130" s="71"/>
      <c r="I130" s="71"/>
      <c r="J130" s="71"/>
      <c r="K130" s="71"/>
      <c r="L130" s="71"/>
      <c r="M130" s="71"/>
    </row>
    <row r="131" spans="1:13" x14ac:dyDescent="0.2">
      <c r="A131" s="8">
        <v>1</v>
      </c>
      <c r="B131" s="8">
        <v>2</v>
      </c>
      <c r="C131" s="84" t="s">
        <v>40</v>
      </c>
      <c r="D131" s="84" t="s">
        <v>41</v>
      </c>
      <c r="E131" s="84" t="s">
        <v>42</v>
      </c>
      <c r="F131" s="51"/>
      <c r="G131" s="51"/>
      <c r="H131" s="51"/>
      <c r="I131" s="51"/>
      <c r="J131" s="51"/>
      <c r="K131" s="51"/>
      <c r="L131" s="51"/>
      <c r="M131" s="51"/>
    </row>
    <row r="132" spans="1:13" ht="25.5" x14ac:dyDescent="0.2">
      <c r="A132" s="75" t="s">
        <v>412</v>
      </c>
      <c r="B132" s="70" t="s">
        <v>44</v>
      </c>
      <c r="C132" s="57"/>
      <c r="D132" s="57"/>
      <c r="E132" s="57"/>
      <c r="F132" s="74"/>
      <c r="G132" s="74"/>
      <c r="H132" s="74"/>
      <c r="I132" s="74"/>
      <c r="J132" s="74"/>
      <c r="K132" s="74"/>
      <c r="L132" s="74"/>
      <c r="M132" s="74"/>
    </row>
    <row r="133" spans="1:13" ht="38.25" x14ac:dyDescent="0.2">
      <c r="A133" s="76" t="s">
        <v>413</v>
      </c>
      <c r="B133" s="70" t="s">
        <v>46</v>
      </c>
      <c r="C133" s="351"/>
      <c r="D133" s="57"/>
      <c r="E133" s="57"/>
      <c r="F133" s="74"/>
      <c r="G133" s="74"/>
      <c r="H133" s="74"/>
      <c r="I133" s="74"/>
      <c r="J133" s="74"/>
      <c r="K133" s="74"/>
      <c r="L133" s="74"/>
      <c r="M133" s="74"/>
    </row>
    <row r="134" spans="1:13" x14ac:dyDescent="0.2">
      <c r="A134" s="75" t="s">
        <v>459</v>
      </c>
      <c r="B134" s="70" t="s">
        <v>48</v>
      </c>
      <c r="C134" s="349">
        <f>C136+C137</f>
        <v>350000</v>
      </c>
      <c r="D134" s="19">
        <f>D136+D137</f>
        <v>0</v>
      </c>
      <c r="E134" s="19">
        <f>E136+E137</f>
        <v>0</v>
      </c>
      <c r="F134" s="74"/>
      <c r="G134" s="74"/>
      <c r="H134" s="74"/>
      <c r="I134" s="74"/>
      <c r="J134" s="74"/>
      <c r="K134" s="74"/>
      <c r="L134" s="74"/>
      <c r="M134" s="74"/>
    </row>
    <row r="135" spans="1:13" x14ac:dyDescent="0.2">
      <c r="A135" s="23" t="s">
        <v>61</v>
      </c>
      <c r="B135" s="70"/>
      <c r="C135" s="349"/>
      <c r="D135" s="19"/>
      <c r="E135" s="19"/>
      <c r="F135" s="74"/>
      <c r="G135" s="74"/>
      <c r="H135" s="74"/>
      <c r="I135" s="74"/>
      <c r="J135" s="74"/>
      <c r="K135" s="74"/>
      <c r="L135" s="74"/>
      <c r="M135" s="74"/>
    </row>
    <row r="136" spans="1:13" x14ac:dyDescent="0.2">
      <c r="A136" s="73" t="s">
        <v>460</v>
      </c>
      <c r="B136" s="70" t="s">
        <v>113</v>
      </c>
      <c r="C136" s="361">
        <v>0</v>
      </c>
      <c r="D136" s="266">
        <v>0</v>
      </c>
      <c r="E136" s="117">
        <f>D136</f>
        <v>0</v>
      </c>
      <c r="F136" s="74"/>
      <c r="G136" s="74"/>
      <c r="H136" s="74"/>
      <c r="I136" s="74"/>
      <c r="J136" s="74"/>
      <c r="K136" s="74"/>
      <c r="L136" s="74"/>
      <c r="M136" s="74"/>
    </row>
    <row r="137" spans="1:13" x14ac:dyDescent="0.2">
      <c r="A137" s="73" t="s">
        <v>214</v>
      </c>
      <c r="B137" s="70" t="s">
        <v>416</v>
      </c>
      <c r="C137" s="361">
        <v>350000</v>
      </c>
      <c r="D137" s="266">
        <v>0</v>
      </c>
      <c r="E137" s="117">
        <f>D137</f>
        <v>0</v>
      </c>
      <c r="F137" s="74"/>
      <c r="G137" s="74"/>
      <c r="H137" s="74"/>
      <c r="I137" s="74"/>
      <c r="J137" s="74"/>
      <c r="K137" s="74"/>
      <c r="L137" s="74"/>
      <c r="M137" s="74"/>
    </row>
    <row r="138" spans="1:13" ht="25.5" x14ac:dyDescent="0.2">
      <c r="A138" s="75" t="s">
        <v>429</v>
      </c>
      <c r="B138" s="70" t="s">
        <v>50</v>
      </c>
      <c r="C138" s="349"/>
      <c r="D138" s="19"/>
      <c r="E138" s="19"/>
      <c r="F138" s="74"/>
      <c r="G138" s="74"/>
      <c r="H138" s="74"/>
      <c r="I138" s="74"/>
      <c r="J138" s="74"/>
      <c r="K138" s="74"/>
      <c r="L138" s="74"/>
      <c r="M138" s="74"/>
    </row>
    <row r="139" spans="1:13" ht="38.25" x14ac:dyDescent="0.2">
      <c r="A139" s="76" t="s">
        <v>430</v>
      </c>
      <c r="B139" s="70" t="s">
        <v>52</v>
      </c>
      <c r="C139" s="19"/>
      <c r="D139" s="19"/>
      <c r="E139" s="19"/>
      <c r="F139" s="74"/>
      <c r="G139" s="74"/>
      <c r="H139" s="74"/>
      <c r="I139" s="74"/>
      <c r="J139" s="74"/>
      <c r="K139" s="74"/>
      <c r="L139" s="74"/>
      <c r="M139" s="74"/>
    </row>
    <row r="140" spans="1:13" ht="38.25" x14ac:dyDescent="0.2">
      <c r="A140" s="73" t="s">
        <v>461</v>
      </c>
      <c r="B140" s="70" t="s">
        <v>54</v>
      </c>
      <c r="C140" s="19">
        <f>C132-C133+C134-C138+C139</f>
        <v>350000</v>
      </c>
      <c r="D140" s="19">
        <f>D132-D133+D134-D138+D139</f>
        <v>0</v>
      </c>
      <c r="E140" s="19">
        <f>E132-E133+E134-E138+E139</f>
        <v>0</v>
      </c>
      <c r="F140" s="74"/>
      <c r="G140" s="74"/>
      <c r="H140" s="74"/>
      <c r="I140" s="74"/>
      <c r="J140" s="74"/>
      <c r="K140" s="74"/>
      <c r="L140" s="74"/>
      <c r="M140" s="74"/>
    </row>
    <row r="142" spans="1:13" ht="15.75" x14ac:dyDescent="0.2">
      <c r="A142" s="77"/>
      <c r="B142" s="77"/>
      <c r="C142" s="77"/>
      <c r="D142" s="77"/>
      <c r="E142" s="77"/>
      <c r="F142" s="77"/>
      <c r="G142" s="77"/>
      <c r="H142" s="77"/>
      <c r="I142" s="77"/>
      <c r="J142" s="77"/>
      <c r="K142" s="77"/>
      <c r="L142" s="77"/>
      <c r="M142" s="77"/>
    </row>
    <row r="143" spans="1:13" ht="30" customHeight="1" x14ac:dyDescent="0.25">
      <c r="A143" s="620" t="s">
        <v>620</v>
      </c>
      <c r="B143" s="620"/>
      <c r="C143" s="620"/>
      <c r="D143" s="620"/>
      <c r="E143" s="620"/>
      <c r="F143" s="66"/>
      <c r="G143" s="66"/>
      <c r="H143" s="66"/>
      <c r="I143" s="66"/>
      <c r="J143" s="66"/>
      <c r="K143" s="66"/>
      <c r="L143" s="66"/>
      <c r="M143" s="66"/>
    </row>
    <row r="144" spans="1:13" ht="35.25" customHeight="1" x14ac:dyDescent="0.25">
      <c r="A144" s="621" t="s">
        <v>621</v>
      </c>
      <c r="B144" s="621"/>
      <c r="C144" s="621"/>
      <c r="D144" s="621"/>
      <c r="E144" s="621"/>
      <c r="F144" s="7"/>
      <c r="G144" s="7"/>
      <c r="H144" s="7"/>
      <c r="I144" s="7"/>
      <c r="J144" s="7"/>
      <c r="K144" s="7"/>
      <c r="L144" s="7"/>
      <c r="M144" s="7"/>
    </row>
    <row r="145" spans="1:13" x14ac:dyDescent="0.2">
      <c r="A145" s="622" t="s">
        <v>36</v>
      </c>
      <c r="B145" s="622" t="s">
        <v>129</v>
      </c>
      <c r="C145" s="622" t="s">
        <v>21</v>
      </c>
      <c r="D145" s="622"/>
      <c r="E145" s="622"/>
      <c r="F145" s="67"/>
      <c r="G145" s="67"/>
      <c r="H145" s="67"/>
      <c r="I145" s="67"/>
      <c r="J145" s="67"/>
      <c r="K145" s="67"/>
      <c r="L145" s="67"/>
      <c r="M145" s="67"/>
    </row>
    <row r="146" spans="1:13" x14ac:dyDescent="0.2">
      <c r="A146" s="622"/>
      <c r="B146" s="622"/>
      <c r="C146" s="353" t="s">
        <v>477</v>
      </c>
      <c r="D146" s="353" t="s">
        <v>553</v>
      </c>
      <c r="E146" s="353" t="s">
        <v>579</v>
      </c>
      <c r="F146" s="67"/>
      <c r="G146" s="67"/>
      <c r="H146" s="67"/>
      <c r="I146" s="67"/>
      <c r="J146" s="67"/>
      <c r="K146" s="67"/>
      <c r="L146" s="67"/>
      <c r="M146" s="67"/>
    </row>
    <row r="147" spans="1:13" x14ac:dyDescent="0.2">
      <c r="A147" s="622"/>
      <c r="B147" s="622"/>
      <c r="C147" s="623" t="s">
        <v>37</v>
      </c>
      <c r="D147" s="623" t="s">
        <v>38</v>
      </c>
      <c r="E147" s="623" t="s">
        <v>39</v>
      </c>
      <c r="F147" s="67"/>
      <c r="G147" s="67"/>
      <c r="H147" s="67"/>
      <c r="I147" s="67"/>
      <c r="J147" s="67"/>
      <c r="K147" s="67"/>
      <c r="L147" s="67"/>
      <c r="M147" s="67"/>
    </row>
    <row r="148" spans="1:13" x14ac:dyDescent="0.2">
      <c r="A148" s="622"/>
      <c r="B148" s="622"/>
      <c r="C148" s="623"/>
      <c r="D148" s="623"/>
      <c r="E148" s="623"/>
      <c r="F148" s="51"/>
      <c r="G148" s="74"/>
      <c r="H148" s="51"/>
      <c r="I148" s="51"/>
      <c r="J148" s="51"/>
      <c r="K148" s="51"/>
      <c r="L148" s="51"/>
      <c r="M148" s="51"/>
    </row>
    <row r="149" spans="1:13" x14ac:dyDescent="0.2">
      <c r="A149" s="115">
        <v>1</v>
      </c>
      <c r="B149" s="41"/>
      <c r="C149" s="358"/>
      <c r="D149" s="358"/>
      <c r="E149" s="358"/>
      <c r="F149" s="74"/>
      <c r="H149" s="74"/>
      <c r="I149" s="74"/>
      <c r="J149" s="74"/>
      <c r="K149" s="74"/>
      <c r="L149" s="74"/>
      <c r="M149" s="74"/>
    </row>
    <row r="150" spans="1:13" ht="25.5" x14ac:dyDescent="0.2">
      <c r="A150" s="359" t="s">
        <v>412</v>
      </c>
      <c r="B150" s="360" t="s">
        <v>44</v>
      </c>
      <c r="C150" s="357"/>
      <c r="D150" s="357"/>
      <c r="E150" s="357"/>
      <c r="F150" s="74"/>
      <c r="G150" s="74"/>
      <c r="H150" s="74"/>
      <c r="I150" s="74"/>
      <c r="J150" s="74"/>
      <c r="K150" s="74"/>
      <c r="L150" s="74"/>
      <c r="M150" s="74"/>
    </row>
    <row r="151" spans="1:13" ht="38.25" x14ac:dyDescent="0.2">
      <c r="A151" s="359" t="s">
        <v>413</v>
      </c>
      <c r="B151" s="360" t="s">
        <v>46</v>
      </c>
      <c r="C151" s="357"/>
      <c r="D151" s="357"/>
      <c r="E151" s="357"/>
      <c r="F151" s="74"/>
      <c r="G151" s="74"/>
      <c r="H151" s="74"/>
      <c r="I151" s="74"/>
      <c r="J151" s="74"/>
      <c r="K151" s="74"/>
      <c r="L151" s="74"/>
      <c r="M151" s="74"/>
    </row>
    <row r="152" spans="1:13" x14ac:dyDescent="0.2">
      <c r="A152" s="359" t="s">
        <v>622</v>
      </c>
      <c r="B152" s="360" t="s">
        <v>48</v>
      </c>
      <c r="C152" s="357">
        <f>C153+'раздел 1_2'!I45</f>
        <v>9750</v>
      </c>
      <c r="D152" s="357">
        <f t="shared" ref="D152:E152" si="15">D153</f>
        <v>0</v>
      </c>
      <c r="E152" s="357">
        <f t="shared" si="15"/>
        <v>0</v>
      </c>
      <c r="F152" s="74"/>
      <c r="G152" s="74"/>
      <c r="H152" s="74"/>
      <c r="I152" s="74"/>
      <c r="J152" s="74"/>
      <c r="K152" s="74"/>
      <c r="L152" s="74"/>
      <c r="M152" s="74"/>
    </row>
    <row r="153" spans="1:13" ht="25.5" x14ac:dyDescent="0.2">
      <c r="A153" s="359" t="s">
        <v>623</v>
      </c>
      <c r="B153" s="616" t="s">
        <v>113</v>
      </c>
      <c r="C153" s="618"/>
      <c r="D153" s="618"/>
      <c r="E153" s="618"/>
      <c r="F153" s="74"/>
      <c r="G153" s="74"/>
      <c r="H153" s="74"/>
      <c r="I153" s="74"/>
      <c r="J153" s="74"/>
      <c r="K153" s="74"/>
      <c r="L153" s="74"/>
      <c r="M153" s="74"/>
    </row>
    <row r="154" spans="1:13" x14ac:dyDescent="0.2">
      <c r="A154" s="359" t="s">
        <v>624</v>
      </c>
      <c r="B154" s="617"/>
      <c r="C154" s="619"/>
      <c r="D154" s="619"/>
      <c r="E154" s="619"/>
      <c r="F154" s="74"/>
      <c r="G154" s="74"/>
      <c r="H154" s="74"/>
      <c r="I154" s="74"/>
      <c r="J154" s="74"/>
      <c r="K154" s="74"/>
      <c r="L154" s="74"/>
      <c r="M154" s="74"/>
    </row>
    <row r="155" spans="1:13" ht="25.5" x14ac:dyDescent="0.2">
      <c r="A155" s="359" t="s">
        <v>429</v>
      </c>
      <c r="B155" s="360" t="s">
        <v>50</v>
      </c>
      <c r="C155" s="357"/>
      <c r="D155" s="357"/>
      <c r="E155" s="357"/>
    </row>
    <row r="156" spans="1:13" ht="38.25" x14ac:dyDescent="0.2">
      <c r="A156" s="359" t="s">
        <v>430</v>
      </c>
      <c r="B156" s="360" t="s">
        <v>52</v>
      </c>
      <c r="C156" s="357"/>
      <c r="D156" s="357"/>
      <c r="E156" s="357"/>
    </row>
    <row r="157" spans="1:13" ht="38.25" x14ac:dyDescent="0.2">
      <c r="A157" s="359" t="s">
        <v>461</v>
      </c>
      <c r="B157" s="360" t="s">
        <v>54</v>
      </c>
      <c r="C157" s="357">
        <f>C152</f>
        <v>9750</v>
      </c>
      <c r="D157" s="357">
        <f t="shared" ref="D157:E157" si="16">D152</f>
        <v>0</v>
      </c>
      <c r="E157" s="357">
        <f t="shared" si="16"/>
        <v>0</v>
      </c>
    </row>
  </sheetData>
  <customSheetViews>
    <customSheetView guid="{DC13F25B-CAA7-4E25-AFF1-0DCF9AD75BDE}" scale="80" showPageBreaks="1" printArea="1" view="pageBreakPreview" topLeftCell="A43">
      <selection activeCell="M80" sqref="M80"/>
      <rowBreaks count="3" manualBreakCount="3">
        <brk id="23" max="10" man="1"/>
        <brk id="56" max="10" man="1"/>
        <brk id="111" max="10" man="1"/>
      </rowBreaks>
      <pageMargins left="0.39370078740157483" right="0.39370078740157483" top="1.1811023622047245" bottom="0.39370078740157483" header="0.19685039370078741" footer="0.19685039370078741"/>
      <printOptions horizontalCentered="1"/>
      <pageSetup paperSize="9" scale="54" firstPageNumber="22" fitToHeight="3" orientation="landscape" useFirstPageNumber="1" r:id="rId1"/>
      <headerFooter alignWithMargins="0"/>
    </customSheetView>
    <customSheetView guid="{6AD2622C-AF85-4997-AA93-A54C85AD6D68}" scale="70" showPageBreaks="1" printArea="1" view="pageBreakPreview">
      <selection activeCell="G46" sqref="G46"/>
      <rowBreaks count="3" manualBreakCount="3">
        <brk id="23" max="10" man="1"/>
        <brk id="54" max="10" man="1"/>
        <brk id="101" max="10" man="1"/>
      </rowBreaks>
      <pageMargins left="0.39370078740157483" right="0.39370078740157483" top="1.1811023622047245" bottom="0.39370078740157483" header="0.19685039370078741" footer="0.19685039370078741"/>
      <printOptions horizontalCentered="1"/>
      <pageSetup paperSize="9" scale="57" firstPageNumber="22" fitToHeight="3" orientation="landscape" useFirstPageNumber="1" r:id="rId2"/>
      <headerFooter alignWithMargins="0">
        <oddHeader>&amp;C&amp;"Times New Roman,обычный"&amp;12&amp;P</oddHeader>
      </headerFooter>
    </customSheetView>
    <customSheetView guid="{C88A4605-0F8D-4713-9317-AF13632C8FA6}" scale="70" showPageBreaks="1" printArea="1" view="pageBreakPreview" topLeftCell="A88">
      <selection activeCell="C126" sqref="C126"/>
      <rowBreaks count="4" manualBreakCount="4">
        <brk id="12" max="10" man="1"/>
        <brk id="23" max="10" man="1"/>
        <brk id="51" max="10" man="1"/>
        <brk id="94" max="10" man="1"/>
      </rowBreaks>
      <pageMargins left="0.39370078740157483" right="0.39370078740157483" top="1.1811023622047245" bottom="0.39370078740157483" header="0.19685039370078741" footer="0.19685039370078741"/>
      <printOptions horizontalCentered="1"/>
      <pageSetup paperSize="9" scale="66" firstPageNumber="22" fitToHeight="3" orientation="landscape" useFirstPageNumber="1" r:id="rId3"/>
      <headerFooter alignWithMargins="0">
        <oddHeader>&amp;C&amp;"Times New Roman,обычный"&amp;12&amp;P</oddHeader>
      </headerFooter>
    </customSheetView>
    <customSheetView guid="{84CC8968-6D7C-41C4-B973-ECD381BB63FC}" scale="80" showPageBreaks="1" printArea="1" view="pageBreakPreview" topLeftCell="B55">
      <selection activeCell="K69" sqref="J69:K69"/>
      <rowBreaks count="3" manualBreakCount="3">
        <brk id="23" max="10" man="1"/>
        <brk id="56" max="10" man="1"/>
        <brk id="111" max="10" man="1"/>
      </rowBreaks>
      <pageMargins left="0.39370078740157483" right="0.39370078740157483" top="1.1811023622047245" bottom="0.39370078740157483" header="0.19685039370078741" footer="0.19685039370078741"/>
      <printOptions horizontalCentered="1"/>
      <pageSetup paperSize="9" scale="54" firstPageNumber="22" fitToHeight="3" orientation="landscape" useFirstPageNumber="1" r:id="rId4"/>
      <headerFooter alignWithMargins="0"/>
    </customSheetView>
    <customSheetView guid="{C47F8591-E97A-4739-B299-8B7B5E22A2DD}" scale="80" showPageBreaks="1" printArea="1" view="pageBreakPreview" topLeftCell="A52">
      <selection activeCell="L75" sqref="L75"/>
      <rowBreaks count="3" manualBreakCount="3">
        <brk id="23" max="10" man="1"/>
        <brk id="56" max="10" man="1"/>
        <brk id="111" max="10" man="1"/>
      </rowBreaks>
      <pageMargins left="0.39370078740157483" right="0.39370078740157483" top="1.1811023622047245" bottom="0.39370078740157483" header="0.19685039370078741" footer="0.19685039370078741"/>
      <printOptions horizontalCentered="1"/>
      <pageSetup paperSize="9" scale="54" firstPageNumber="22" fitToHeight="3" orientation="landscape" useFirstPageNumber="1" r:id="rId5"/>
      <headerFooter alignWithMargins="0"/>
    </customSheetView>
  </customSheetViews>
  <mergeCells count="83">
    <mergeCell ref="A71:E71"/>
    <mergeCell ref="F73:H73"/>
    <mergeCell ref="I73:K73"/>
    <mergeCell ref="A73:A75"/>
    <mergeCell ref="B73:B75"/>
    <mergeCell ref="C73:E73"/>
    <mergeCell ref="A12:D12"/>
    <mergeCell ref="A10:D10"/>
    <mergeCell ref="A11:D11"/>
    <mergeCell ref="A8:D8"/>
    <mergeCell ref="A9:D9"/>
    <mergeCell ref="A17:D17"/>
    <mergeCell ref="A18:D18"/>
    <mergeCell ref="A15:D15"/>
    <mergeCell ref="A16:D16"/>
    <mergeCell ref="A13:D13"/>
    <mergeCell ref="A14:D14"/>
    <mergeCell ref="A23:D23"/>
    <mergeCell ref="A24:M24"/>
    <mergeCell ref="A21:D21"/>
    <mergeCell ref="A22:D22"/>
    <mergeCell ref="A19:D19"/>
    <mergeCell ref="A20:D20"/>
    <mergeCell ref="A124:M124"/>
    <mergeCell ref="A113:M113"/>
    <mergeCell ref="A115:A117"/>
    <mergeCell ref="B115:B117"/>
    <mergeCell ref="C115:E115"/>
    <mergeCell ref="F115:H115"/>
    <mergeCell ref="I115:K115"/>
    <mergeCell ref="A125:M125"/>
    <mergeCell ref="A127:A130"/>
    <mergeCell ref="B127:B130"/>
    <mergeCell ref="C127:E127"/>
    <mergeCell ref="C129:C130"/>
    <mergeCell ref="D129:D130"/>
    <mergeCell ref="E129:E130"/>
    <mergeCell ref="A88:M88"/>
    <mergeCell ref="A90:A92"/>
    <mergeCell ref="B90:B92"/>
    <mergeCell ref="C90:E90"/>
    <mergeCell ref="F90:H90"/>
    <mergeCell ref="I90:K90"/>
    <mergeCell ref="A58:M58"/>
    <mergeCell ref="A60:A62"/>
    <mergeCell ref="B60:B62"/>
    <mergeCell ref="C60:E60"/>
    <mergeCell ref="F60:H60"/>
    <mergeCell ref="I60:K60"/>
    <mergeCell ref="A40:M40"/>
    <mergeCell ref="A42:A45"/>
    <mergeCell ref="B42:B45"/>
    <mergeCell ref="C42:E42"/>
    <mergeCell ref="C44:C45"/>
    <mergeCell ref="D44:D45"/>
    <mergeCell ref="E44:E45"/>
    <mergeCell ref="A1:M1"/>
    <mergeCell ref="A2:M2"/>
    <mergeCell ref="A3:M3"/>
    <mergeCell ref="A4:D7"/>
    <mergeCell ref="E4:E7"/>
    <mergeCell ref="F4:H4"/>
    <mergeCell ref="F6:F7"/>
    <mergeCell ref="G6:G7"/>
    <mergeCell ref="H6:H7"/>
    <mergeCell ref="A39:M39"/>
    <mergeCell ref="A26:A28"/>
    <mergeCell ref="B26:B28"/>
    <mergeCell ref="C26:E26"/>
    <mergeCell ref="F26:H26"/>
    <mergeCell ref="I26:K26"/>
    <mergeCell ref="B153:B154"/>
    <mergeCell ref="C153:C154"/>
    <mergeCell ref="D153:D154"/>
    <mergeCell ref="E153:E154"/>
    <mergeCell ref="A143:E143"/>
    <mergeCell ref="A144:E144"/>
    <mergeCell ref="A145:A148"/>
    <mergeCell ref="B145:B148"/>
    <mergeCell ref="C145:E145"/>
    <mergeCell ref="C147:C148"/>
    <mergeCell ref="D147:D148"/>
    <mergeCell ref="E147:E148"/>
  </mergeCells>
  <printOptions horizontalCentered="1"/>
  <pageMargins left="0.39370078740157483" right="0.39370078740157483" top="1.1811023622047245" bottom="0.39370078740157483" header="0.19685039370078741" footer="0.19685039370078741"/>
  <pageSetup paperSize="9" scale="54" firstPageNumber="22" fitToHeight="3" orientation="landscape" useFirstPageNumber="1" r:id="rId6"/>
  <headerFooter alignWithMargins="0"/>
  <rowBreaks count="3" manualBreakCount="3">
    <brk id="23" max="10" man="1"/>
    <brk id="56" max="10" man="1"/>
    <brk id="111" max="1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BJ100"/>
  <sheetViews>
    <sheetView view="pageBreakPreview" topLeftCell="A16" zoomScale="70" zoomScaleNormal="40" zoomScaleSheetLayoutView="70" workbookViewId="0">
      <selection activeCell="I64" sqref="I64:K68"/>
    </sheetView>
  </sheetViews>
  <sheetFormatPr defaultColWidth="0.85546875" defaultRowHeight="12.75" x14ac:dyDescent="0.2"/>
  <cols>
    <col min="1" max="1" width="23.140625" style="6" customWidth="1"/>
    <col min="2" max="2" width="12.28515625" style="6" bestFit="1" customWidth="1"/>
    <col min="3" max="3" width="15" style="6" customWidth="1"/>
    <col min="4" max="4" width="18.5703125" style="6" customWidth="1"/>
    <col min="5" max="5" width="15.7109375" style="6" customWidth="1"/>
    <col min="6" max="10" width="12.28515625" style="6" bestFit="1" customWidth="1"/>
    <col min="11" max="11" width="15.85546875" style="6" customWidth="1"/>
    <col min="12" max="12" width="21.42578125" style="6" customWidth="1"/>
    <col min="13" max="13" width="24.7109375" style="6" customWidth="1"/>
    <col min="14" max="62" width="22.140625" style="15" customWidth="1"/>
    <col min="63" max="16384" width="0.85546875" style="6"/>
  </cols>
  <sheetData>
    <row r="1" spans="1:27" ht="18.75" customHeight="1" x14ac:dyDescent="0.25">
      <c r="A1" s="645" t="s">
        <v>33</v>
      </c>
      <c r="B1" s="645"/>
      <c r="C1" s="645"/>
      <c r="D1" s="645"/>
      <c r="E1" s="645"/>
      <c r="F1" s="645"/>
      <c r="G1" s="645"/>
      <c r="H1" s="645"/>
      <c r="I1" s="645"/>
      <c r="J1" s="645"/>
      <c r="K1" s="645"/>
      <c r="L1" s="645"/>
      <c r="M1" s="645"/>
      <c r="N1" s="64"/>
      <c r="O1" s="64"/>
      <c r="P1" s="64"/>
      <c r="Q1" s="64"/>
      <c r="R1" s="64"/>
      <c r="S1" s="64"/>
      <c r="T1" s="64"/>
      <c r="U1" s="64"/>
      <c r="V1" s="64"/>
      <c r="W1" s="64"/>
      <c r="X1" s="64"/>
      <c r="Y1" s="64"/>
      <c r="Z1" s="64"/>
      <c r="AA1" s="64"/>
    </row>
    <row r="2" spans="1:27" ht="18.75" customHeight="1" x14ac:dyDescent="0.2">
      <c r="A2" s="5" t="s">
        <v>34</v>
      </c>
      <c r="B2" s="5"/>
      <c r="C2" s="5"/>
      <c r="D2" s="5"/>
      <c r="E2" s="5"/>
      <c r="F2" s="5"/>
      <c r="G2" s="5"/>
      <c r="H2" s="5"/>
      <c r="I2" s="5"/>
      <c r="J2" s="5"/>
      <c r="K2" s="5"/>
      <c r="L2" s="5"/>
      <c r="M2" s="5"/>
      <c r="N2" s="64"/>
      <c r="O2" s="64"/>
      <c r="P2" s="64"/>
      <c r="Q2" s="64"/>
      <c r="R2" s="64"/>
      <c r="S2" s="64"/>
      <c r="T2" s="64"/>
      <c r="U2" s="64"/>
      <c r="V2" s="64"/>
      <c r="W2" s="64"/>
      <c r="X2" s="64"/>
      <c r="Y2" s="64"/>
      <c r="Z2" s="64"/>
      <c r="AA2" s="64"/>
    </row>
    <row r="3" spans="1:27" ht="41.45" customHeight="1" x14ac:dyDescent="0.2">
      <c r="A3" s="7" t="s">
        <v>35</v>
      </c>
      <c r="B3" s="7"/>
      <c r="C3" s="7"/>
      <c r="D3" s="7"/>
      <c r="E3" s="7"/>
      <c r="F3" s="7"/>
      <c r="G3" s="7"/>
      <c r="H3" s="7"/>
      <c r="I3" s="7"/>
      <c r="J3" s="7"/>
      <c r="K3" s="7"/>
      <c r="L3" s="7"/>
      <c r="M3" s="7"/>
      <c r="N3" s="236"/>
      <c r="O3" s="236"/>
      <c r="P3" s="236"/>
      <c r="Q3" s="236"/>
      <c r="R3" s="236"/>
      <c r="S3" s="236"/>
      <c r="T3" s="236"/>
      <c r="U3" s="236"/>
      <c r="V3" s="236"/>
      <c r="W3" s="236"/>
      <c r="X3" s="236"/>
      <c r="Y3" s="236"/>
      <c r="Z3" s="236"/>
      <c r="AA3" s="236"/>
    </row>
    <row r="4" spans="1:27" ht="12.75" customHeight="1" x14ac:dyDescent="0.2">
      <c r="A4" s="454" t="s">
        <v>36</v>
      </c>
      <c r="B4" s="454"/>
      <c r="C4" s="454"/>
      <c r="D4" s="454"/>
      <c r="E4" s="454"/>
      <c r="F4" s="454"/>
      <c r="G4" s="454"/>
      <c r="H4" s="454"/>
      <c r="I4" s="454"/>
      <c r="J4" s="454" t="s">
        <v>2</v>
      </c>
      <c r="K4" s="454" t="s">
        <v>21</v>
      </c>
      <c r="L4" s="454"/>
      <c r="M4" s="454"/>
    </row>
    <row r="5" spans="1:27" x14ac:dyDescent="0.2">
      <c r="A5" s="454"/>
      <c r="B5" s="454"/>
      <c r="C5" s="454"/>
      <c r="D5" s="454"/>
      <c r="E5" s="454"/>
      <c r="F5" s="454"/>
      <c r="G5" s="454"/>
      <c r="H5" s="454"/>
      <c r="I5" s="454"/>
      <c r="J5" s="454"/>
      <c r="K5" s="272" t="s">
        <v>477</v>
      </c>
      <c r="L5" s="272" t="s">
        <v>552</v>
      </c>
      <c r="M5" s="272" t="s">
        <v>579</v>
      </c>
    </row>
    <row r="6" spans="1:27" ht="25.5" x14ac:dyDescent="0.2">
      <c r="A6" s="454"/>
      <c r="B6" s="454"/>
      <c r="C6" s="454"/>
      <c r="D6" s="454"/>
      <c r="E6" s="454"/>
      <c r="F6" s="454"/>
      <c r="G6" s="454"/>
      <c r="H6" s="454"/>
      <c r="I6" s="454"/>
      <c r="J6" s="454"/>
      <c r="K6" s="10" t="s">
        <v>37</v>
      </c>
      <c r="L6" s="10" t="s">
        <v>38</v>
      </c>
      <c r="M6" s="10" t="s">
        <v>39</v>
      </c>
    </row>
    <row r="7" spans="1:27" x14ac:dyDescent="0.2">
      <c r="A7" s="454"/>
      <c r="B7" s="454"/>
      <c r="C7" s="454"/>
      <c r="D7" s="454"/>
      <c r="E7" s="454"/>
      <c r="F7" s="454"/>
      <c r="G7" s="454"/>
      <c r="H7" s="454"/>
      <c r="I7" s="454"/>
      <c r="J7" s="454"/>
      <c r="K7" s="12"/>
      <c r="L7" s="12"/>
      <c r="M7" s="12"/>
    </row>
    <row r="8" spans="1:27" x14ac:dyDescent="0.2">
      <c r="A8" s="454">
        <v>1</v>
      </c>
      <c r="B8" s="454"/>
      <c r="C8" s="454"/>
      <c r="D8" s="454"/>
      <c r="E8" s="454"/>
      <c r="F8" s="454"/>
      <c r="G8" s="454"/>
      <c r="H8" s="454"/>
      <c r="I8" s="454"/>
      <c r="J8" s="11">
        <v>2</v>
      </c>
      <c r="K8" s="11" t="s">
        <v>40</v>
      </c>
      <c r="L8" s="11" t="s">
        <v>41</v>
      </c>
      <c r="M8" s="11" t="s">
        <v>42</v>
      </c>
    </row>
    <row r="9" spans="1:27" ht="27" customHeight="1" x14ac:dyDescent="0.2">
      <c r="A9" s="455" t="s">
        <v>43</v>
      </c>
      <c r="B9" s="455"/>
      <c r="C9" s="455"/>
      <c r="D9" s="455"/>
      <c r="E9" s="455"/>
      <c r="F9" s="455"/>
      <c r="G9" s="455"/>
      <c r="H9" s="455"/>
      <c r="I9" s="455"/>
      <c r="J9" s="12" t="s">
        <v>44</v>
      </c>
      <c r="K9" s="11"/>
      <c r="L9" s="11"/>
      <c r="M9" s="11"/>
    </row>
    <row r="10" spans="1:27" ht="26.45" customHeight="1" x14ac:dyDescent="0.2">
      <c r="A10" s="455" t="s">
        <v>45</v>
      </c>
      <c r="B10" s="455"/>
      <c r="C10" s="455"/>
      <c r="D10" s="455"/>
      <c r="E10" s="455"/>
      <c r="F10" s="455"/>
      <c r="G10" s="455"/>
      <c r="H10" s="455"/>
      <c r="I10" s="455"/>
      <c r="J10" s="12" t="s">
        <v>46</v>
      </c>
      <c r="K10" s="11"/>
      <c r="L10" s="11"/>
      <c r="M10" s="11"/>
    </row>
    <row r="11" spans="1:27" ht="12.75" customHeight="1" x14ac:dyDescent="0.2">
      <c r="A11" s="455" t="s">
        <v>47</v>
      </c>
      <c r="B11" s="455"/>
      <c r="C11" s="455"/>
      <c r="D11" s="455"/>
      <c r="E11" s="455"/>
      <c r="F11" s="455"/>
      <c r="G11" s="455"/>
      <c r="H11" s="455"/>
      <c r="I11" s="455"/>
      <c r="J11" s="12" t="s">
        <v>48</v>
      </c>
      <c r="K11" s="267">
        <f>L27</f>
        <v>1872787.67</v>
      </c>
      <c r="L11" s="267">
        <f>L39</f>
        <v>1873512</v>
      </c>
      <c r="M11" s="267">
        <f>L51</f>
        <v>1873512</v>
      </c>
    </row>
    <row r="12" spans="1:27" ht="25.15" customHeight="1" x14ac:dyDescent="0.2">
      <c r="A12" s="455" t="s">
        <v>49</v>
      </c>
      <c r="B12" s="455"/>
      <c r="C12" s="455"/>
      <c r="D12" s="455"/>
      <c r="E12" s="455"/>
      <c r="F12" s="455"/>
      <c r="G12" s="455"/>
      <c r="H12" s="455"/>
      <c r="I12" s="455"/>
      <c r="J12" s="12" t="s">
        <v>50</v>
      </c>
      <c r="K12" s="11"/>
      <c r="L12" s="11"/>
      <c r="M12" s="11"/>
    </row>
    <row r="13" spans="1:27" ht="25.9" customHeight="1" x14ac:dyDescent="0.2">
      <c r="A13" s="455" t="s">
        <v>51</v>
      </c>
      <c r="B13" s="455"/>
      <c r="C13" s="455"/>
      <c r="D13" s="455"/>
      <c r="E13" s="455"/>
      <c r="F13" s="455"/>
      <c r="G13" s="455"/>
      <c r="H13" s="455"/>
      <c r="I13" s="455"/>
      <c r="J13" s="12" t="s">
        <v>52</v>
      </c>
      <c r="K13" s="11"/>
      <c r="L13" s="11"/>
      <c r="M13" s="11"/>
    </row>
    <row r="14" spans="1:27" ht="27.6" customHeight="1" x14ac:dyDescent="0.2">
      <c r="A14" s="455" t="s">
        <v>53</v>
      </c>
      <c r="B14" s="455"/>
      <c r="C14" s="455"/>
      <c r="D14" s="455"/>
      <c r="E14" s="455"/>
      <c r="F14" s="455"/>
      <c r="G14" s="455"/>
      <c r="H14" s="455"/>
      <c r="I14" s="455"/>
      <c r="J14" s="12" t="s">
        <v>54</v>
      </c>
      <c r="K14" s="11">
        <f>K9-K10+K11-K12+K13</f>
        <v>1872787.67</v>
      </c>
      <c r="L14" s="11">
        <f>L9-L10+L11-L12+L13</f>
        <v>1873512</v>
      </c>
      <c r="M14" s="11">
        <f>M9-M10+M11-M12+M13</f>
        <v>1873512</v>
      </c>
    </row>
    <row r="15" spans="1:27" ht="18.75" customHeight="1" x14ac:dyDescent="0.2"/>
    <row r="16" spans="1:27" x14ac:dyDescent="0.2">
      <c r="A16" s="5" t="s">
        <v>55</v>
      </c>
      <c r="B16" s="5"/>
      <c r="C16" s="5"/>
      <c r="D16" s="5"/>
      <c r="E16" s="5"/>
      <c r="F16" s="5"/>
      <c r="G16" s="5"/>
      <c r="H16" s="5"/>
      <c r="I16" s="5"/>
      <c r="J16" s="5"/>
      <c r="K16" s="5"/>
      <c r="L16" s="5"/>
      <c r="M16" s="5"/>
      <c r="N16" s="64"/>
      <c r="O16" s="64"/>
      <c r="P16" s="64"/>
      <c r="Q16" s="64"/>
      <c r="R16" s="64"/>
      <c r="S16" s="64"/>
      <c r="T16" s="64"/>
      <c r="U16" s="64"/>
      <c r="V16" s="64"/>
      <c r="W16" s="64"/>
      <c r="X16" s="64"/>
      <c r="Y16" s="64"/>
      <c r="Z16" s="64"/>
      <c r="AA16" s="64"/>
    </row>
    <row r="17" spans="1:62" ht="31.9" customHeight="1" x14ac:dyDescent="0.2">
      <c r="A17" s="5" t="s">
        <v>589</v>
      </c>
      <c r="B17" s="5"/>
      <c r="C17" s="5"/>
      <c r="D17" s="5"/>
      <c r="E17" s="5"/>
      <c r="F17" s="5"/>
      <c r="G17" s="5"/>
      <c r="H17" s="5"/>
      <c r="I17" s="5"/>
      <c r="J17" s="5"/>
      <c r="K17" s="5"/>
      <c r="L17" s="5"/>
      <c r="M17" s="5"/>
      <c r="N17" s="64"/>
      <c r="O17" s="64"/>
      <c r="P17" s="64"/>
      <c r="Q17" s="64"/>
      <c r="R17" s="64"/>
      <c r="S17" s="64"/>
      <c r="T17" s="64"/>
      <c r="U17" s="64"/>
      <c r="V17" s="64"/>
      <c r="W17" s="64"/>
      <c r="X17" s="64"/>
      <c r="Y17" s="64"/>
      <c r="Z17" s="64"/>
      <c r="AA17" s="64"/>
    </row>
    <row r="19" spans="1:62" s="9" customFormat="1" ht="76.5" customHeight="1" x14ac:dyDescent="0.2">
      <c r="A19" s="453" t="s">
        <v>56</v>
      </c>
      <c r="B19" s="453" t="s">
        <v>2</v>
      </c>
      <c r="C19" s="453" t="s">
        <v>57</v>
      </c>
      <c r="D19" s="453" t="s">
        <v>58</v>
      </c>
      <c r="E19" s="453"/>
      <c r="F19" s="453"/>
      <c r="G19" s="453"/>
      <c r="H19" s="453"/>
      <c r="I19" s="453"/>
      <c r="J19" s="453"/>
      <c r="K19" s="453"/>
      <c r="L19" s="453" t="s">
        <v>59</v>
      </c>
      <c r="M19" s="36"/>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row>
    <row r="20" spans="1:62" ht="16.899999999999999" customHeight="1" x14ac:dyDescent="0.2">
      <c r="A20" s="453"/>
      <c r="B20" s="453"/>
      <c r="C20" s="453"/>
      <c r="D20" s="625" t="s">
        <v>155</v>
      </c>
      <c r="E20" s="454" t="s">
        <v>61</v>
      </c>
      <c r="F20" s="454"/>
      <c r="G20" s="454"/>
      <c r="H20" s="454"/>
      <c r="I20" s="454"/>
      <c r="J20" s="454"/>
      <c r="K20" s="454"/>
      <c r="L20" s="453"/>
      <c r="M20" s="5"/>
    </row>
    <row r="21" spans="1:62" ht="51" x14ac:dyDescent="0.2">
      <c r="A21" s="453"/>
      <c r="B21" s="453"/>
      <c r="C21" s="453"/>
      <c r="D21" s="625"/>
      <c r="E21" s="10" t="s">
        <v>62</v>
      </c>
      <c r="F21" s="10" t="s">
        <v>63</v>
      </c>
      <c r="G21" s="10" t="s">
        <v>64</v>
      </c>
      <c r="H21" s="454" t="s">
        <v>65</v>
      </c>
      <c r="I21" s="454"/>
      <c r="J21" s="454" t="s">
        <v>66</v>
      </c>
      <c r="K21" s="454"/>
      <c r="L21" s="453"/>
    </row>
    <row r="22" spans="1:62" s="9" customFormat="1" ht="69" customHeight="1" x14ac:dyDescent="0.2">
      <c r="A22" s="453"/>
      <c r="B22" s="453"/>
      <c r="C22" s="453"/>
      <c r="D22" s="625"/>
      <c r="E22" s="10"/>
      <c r="F22" s="10"/>
      <c r="G22" s="10"/>
      <c r="H22" s="10" t="s">
        <v>67</v>
      </c>
      <c r="I22" s="10" t="s">
        <v>68</v>
      </c>
      <c r="J22" s="10" t="s">
        <v>67</v>
      </c>
      <c r="K22" s="10" t="s">
        <v>69</v>
      </c>
      <c r="L22" s="453"/>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row>
    <row r="23" spans="1:62" x14ac:dyDescent="0.2">
      <c r="A23" s="11">
        <v>1</v>
      </c>
      <c r="B23" s="11">
        <v>2</v>
      </c>
      <c r="C23" s="11">
        <v>3</v>
      </c>
      <c r="D23" s="11">
        <v>4</v>
      </c>
      <c r="E23" s="11">
        <v>5</v>
      </c>
      <c r="F23" s="11">
        <v>6</v>
      </c>
      <c r="G23" s="11">
        <v>7</v>
      </c>
      <c r="H23" s="11">
        <v>8</v>
      </c>
      <c r="I23" s="11">
        <v>9</v>
      </c>
      <c r="J23" s="11">
        <v>10</v>
      </c>
      <c r="K23" s="11">
        <v>11</v>
      </c>
      <c r="L23" s="11">
        <v>12</v>
      </c>
    </row>
    <row r="24" spans="1:62" ht="36" customHeight="1" x14ac:dyDescent="0.2">
      <c r="A24" s="8" t="s">
        <v>156</v>
      </c>
      <c r="B24" s="12" t="s">
        <v>10</v>
      </c>
      <c r="C24" s="231">
        <v>5.5</v>
      </c>
      <c r="D24" s="231">
        <f>ROUND(E24+F24+G24+I24+K24,2)</f>
        <v>28375.57</v>
      </c>
      <c r="E24" s="232">
        <v>3481</v>
      </c>
      <c r="F24" s="232">
        <v>664.5545454545454</v>
      </c>
      <c r="G24" s="231">
        <v>13589.177178030302</v>
      </c>
      <c r="H24" s="233">
        <v>30</v>
      </c>
      <c r="I24" s="231">
        <f>(E24+F24+G24)*H24/100</f>
        <v>5320.4195170454541</v>
      </c>
      <c r="J24" s="234">
        <v>30</v>
      </c>
      <c r="K24" s="231">
        <f>(E24+F24+G24)*J24/100</f>
        <v>5320.4195170454541</v>
      </c>
      <c r="L24" s="231">
        <f>ROUND(C24*D24*12,0)-0.33</f>
        <v>1872787.67</v>
      </c>
      <c r="M24" s="13"/>
      <c r="N24" s="15">
        <f>SUM('(211-213)_бюд:(211-213)_ауп'!C24)+'(211-213)_ауп'!C25++'(211-213)_ауп'!C26</f>
        <v>59.610000000000007</v>
      </c>
      <c r="O24" s="15">
        <v>59.610000000000007</v>
      </c>
      <c r="P24" s="15">
        <f>O24-N24</f>
        <v>0</v>
      </c>
    </row>
    <row r="25" spans="1:62" x14ac:dyDescent="0.2">
      <c r="A25" s="12"/>
      <c r="B25" s="12" t="s">
        <v>11</v>
      </c>
      <c r="C25" s="231"/>
      <c r="D25" s="231">
        <f>ROUND(E25+F25+G25+I25+K25,2)</f>
        <v>0</v>
      </c>
      <c r="E25" s="231"/>
      <c r="F25" s="231"/>
      <c r="G25" s="231"/>
      <c r="H25" s="234"/>
      <c r="I25" s="231">
        <f t="shared" ref="I25:I26" si="0">(E25+F25+G25)*H25/100</f>
        <v>0</v>
      </c>
      <c r="J25" s="234"/>
      <c r="K25" s="231">
        <f t="shared" ref="K25:K26" si="1">(E25+F25+G25)*J25/100</f>
        <v>0</v>
      </c>
      <c r="L25" s="231">
        <f>C25*D25*12</f>
        <v>0</v>
      </c>
    </row>
    <row r="26" spans="1:62" x14ac:dyDescent="0.2">
      <c r="A26" s="12"/>
      <c r="B26" s="12"/>
      <c r="C26" s="231"/>
      <c r="D26" s="231">
        <f>ROUND(E26+F26+G26+I26+K26,2)</f>
        <v>0</v>
      </c>
      <c r="E26" s="231"/>
      <c r="F26" s="231"/>
      <c r="G26" s="231"/>
      <c r="H26" s="234"/>
      <c r="I26" s="231">
        <f t="shared" si="0"/>
        <v>0</v>
      </c>
      <c r="J26" s="234"/>
      <c r="K26" s="231">
        <f t="shared" si="1"/>
        <v>0</v>
      </c>
      <c r="L26" s="231">
        <f>C26*D26*12</f>
        <v>0</v>
      </c>
    </row>
    <row r="27" spans="1:62" x14ac:dyDescent="0.2">
      <c r="A27" s="14" t="s">
        <v>71</v>
      </c>
      <c r="B27" s="14" t="s">
        <v>72</v>
      </c>
      <c r="C27" s="231" t="s">
        <v>14</v>
      </c>
      <c r="D27" s="231">
        <f>SUM(D24:D26)</f>
        <v>28375.57</v>
      </c>
      <c r="E27" s="231">
        <f>SUM(E24:E26)</f>
        <v>3481</v>
      </c>
      <c r="F27" s="231">
        <f>SUM(F24:F26)</f>
        <v>664.5545454545454</v>
      </c>
      <c r="G27" s="231">
        <f>SUM(G24:G26)</f>
        <v>13589.177178030302</v>
      </c>
      <c r="H27" s="231"/>
      <c r="I27" s="231">
        <f>SUM(I24:I26)</f>
        <v>5320.4195170454541</v>
      </c>
      <c r="J27" s="231"/>
      <c r="K27" s="231">
        <f>SUM(K24:K26)</f>
        <v>5320.4195170454541</v>
      </c>
      <c r="L27" s="231">
        <f>SUM(L24:L26)</f>
        <v>1872787.67</v>
      </c>
      <c r="M27" s="15"/>
      <c r="N27" s="221">
        <v>1872787.67</v>
      </c>
      <c r="O27" s="15">
        <f>N27-L27</f>
        <v>0</v>
      </c>
    </row>
    <row r="28" spans="1:62" ht="3.6" customHeight="1" x14ac:dyDescent="0.2">
      <c r="A28" s="12"/>
      <c r="B28" s="12"/>
      <c r="C28" s="12"/>
      <c r="D28" s="12"/>
      <c r="E28" s="12"/>
      <c r="F28" s="12"/>
      <c r="G28" s="12"/>
      <c r="H28" s="12"/>
      <c r="I28" s="12"/>
      <c r="J28" s="12"/>
      <c r="K28" s="12"/>
      <c r="L28" s="12"/>
    </row>
    <row r="29" spans="1:62" ht="29.45" customHeight="1" x14ac:dyDescent="0.2">
      <c r="A29" s="227" t="s">
        <v>588</v>
      </c>
    </row>
    <row r="30" spans="1:62" ht="13.9" customHeight="1" x14ac:dyDescent="0.2"/>
    <row r="31" spans="1:62" ht="12.75" customHeight="1" x14ac:dyDescent="0.2">
      <c r="A31" s="453" t="s">
        <v>56</v>
      </c>
      <c r="B31" s="453" t="s">
        <v>2</v>
      </c>
      <c r="C31" s="453" t="s">
        <v>57</v>
      </c>
      <c r="D31" s="453" t="s">
        <v>58</v>
      </c>
      <c r="E31" s="453"/>
      <c r="F31" s="453"/>
      <c r="G31" s="453"/>
      <c r="H31" s="453"/>
      <c r="I31" s="453"/>
      <c r="J31" s="453"/>
      <c r="K31" s="453"/>
      <c r="L31" s="453" t="s">
        <v>59</v>
      </c>
    </row>
    <row r="32" spans="1:62" ht="12.75" customHeight="1" x14ac:dyDescent="0.2">
      <c r="A32" s="453"/>
      <c r="B32" s="453"/>
      <c r="C32" s="453"/>
      <c r="D32" s="625" t="s">
        <v>155</v>
      </c>
      <c r="E32" s="454" t="s">
        <v>61</v>
      </c>
      <c r="F32" s="454"/>
      <c r="G32" s="454"/>
      <c r="H32" s="454"/>
      <c r="I32" s="454"/>
      <c r="J32" s="454"/>
      <c r="K32" s="454"/>
      <c r="L32" s="453"/>
    </row>
    <row r="33" spans="1:15" ht="27" customHeight="1" x14ac:dyDescent="0.2">
      <c r="A33" s="453"/>
      <c r="B33" s="453"/>
      <c r="C33" s="453"/>
      <c r="D33" s="625"/>
      <c r="E33" s="10" t="s">
        <v>62</v>
      </c>
      <c r="F33" s="10" t="s">
        <v>63</v>
      </c>
      <c r="G33" s="10" t="s">
        <v>64</v>
      </c>
      <c r="H33" s="454" t="s">
        <v>65</v>
      </c>
      <c r="I33" s="454"/>
      <c r="J33" s="454" t="s">
        <v>66</v>
      </c>
      <c r="K33" s="454"/>
      <c r="L33" s="453"/>
    </row>
    <row r="34" spans="1:15" ht="67.900000000000006" customHeight="1" x14ac:dyDescent="0.2">
      <c r="A34" s="453"/>
      <c r="B34" s="453"/>
      <c r="C34" s="453"/>
      <c r="D34" s="625"/>
      <c r="E34" s="10"/>
      <c r="F34" s="10"/>
      <c r="G34" s="10"/>
      <c r="H34" s="10" t="s">
        <v>67</v>
      </c>
      <c r="I34" s="10" t="s">
        <v>68</v>
      </c>
      <c r="J34" s="10" t="s">
        <v>67</v>
      </c>
      <c r="K34" s="10" t="s">
        <v>69</v>
      </c>
      <c r="L34" s="453"/>
    </row>
    <row r="35" spans="1:15" x14ac:dyDescent="0.2">
      <c r="A35" s="11">
        <v>1</v>
      </c>
      <c r="B35" s="11">
        <v>2</v>
      </c>
      <c r="C35" s="11">
        <v>3</v>
      </c>
      <c r="D35" s="11">
        <v>4</v>
      </c>
      <c r="E35" s="11">
        <v>5</v>
      </c>
      <c r="F35" s="11">
        <v>6</v>
      </c>
      <c r="G35" s="11">
        <v>7</v>
      </c>
      <c r="H35" s="11">
        <v>8</v>
      </c>
      <c r="I35" s="11">
        <v>9</v>
      </c>
      <c r="J35" s="11">
        <v>10</v>
      </c>
      <c r="K35" s="11">
        <v>11</v>
      </c>
      <c r="L35" s="11">
        <v>12</v>
      </c>
    </row>
    <row r="36" spans="1:15" ht="25.5" customHeight="1" x14ac:dyDescent="0.2">
      <c r="A36" s="8" t="s">
        <v>156</v>
      </c>
      <c r="B36" s="12" t="s">
        <v>10</v>
      </c>
      <c r="C36" s="231">
        <v>5.5</v>
      </c>
      <c r="D36" s="231">
        <f>ROUND(E36+F36+G36+I36+K36,2)</f>
        <v>28386.55</v>
      </c>
      <c r="E36" s="232">
        <v>3481</v>
      </c>
      <c r="F36" s="232">
        <v>664.5545454545454</v>
      </c>
      <c r="G36" s="231">
        <v>13596.036363636362</v>
      </c>
      <c r="H36" s="233">
        <v>30</v>
      </c>
      <c r="I36" s="231">
        <f>(E36+F36+G36)*H36/100</f>
        <v>5322.477272727273</v>
      </c>
      <c r="J36" s="234">
        <v>30</v>
      </c>
      <c r="K36" s="231">
        <f>(E36+F36+G36)*J36/100</f>
        <v>5322.477272727273</v>
      </c>
      <c r="L36" s="231">
        <f>ROUND(C36*D36*12,0)</f>
        <v>1873512</v>
      </c>
    </row>
    <row r="37" spans="1:15" x14ac:dyDescent="0.2">
      <c r="A37" s="12"/>
      <c r="B37" s="12" t="s">
        <v>11</v>
      </c>
      <c r="C37" s="231"/>
      <c r="D37" s="231">
        <f>ROUND(E37+F37+G37+I37+K37,2)</f>
        <v>0</v>
      </c>
      <c r="E37" s="231"/>
      <c r="F37" s="231"/>
      <c r="G37" s="231"/>
      <c r="H37" s="234"/>
      <c r="I37" s="231">
        <f t="shared" ref="I37:I38" si="2">(E37+F37+G37)*H37/100</f>
        <v>0</v>
      </c>
      <c r="J37" s="234"/>
      <c r="K37" s="231">
        <f t="shared" ref="K37:K38" si="3">(E37+F37+G37)*J37/100</f>
        <v>0</v>
      </c>
      <c r="L37" s="231">
        <f>C37*D37*12</f>
        <v>0</v>
      </c>
    </row>
    <row r="38" spans="1:15" x14ac:dyDescent="0.2">
      <c r="A38" s="12"/>
      <c r="B38" s="12"/>
      <c r="C38" s="231"/>
      <c r="D38" s="231">
        <f>ROUND(E38+F38+G38+I38+K38,2)</f>
        <v>0</v>
      </c>
      <c r="E38" s="231"/>
      <c r="F38" s="231"/>
      <c r="G38" s="231"/>
      <c r="H38" s="234"/>
      <c r="I38" s="231">
        <f t="shared" si="2"/>
        <v>0</v>
      </c>
      <c r="J38" s="234"/>
      <c r="K38" s="231">
        <f t="shared" si="3"/>
        <v>0</v>
      </c>
      <c r="L38" s="231">
        <f>C38*D38*12</f>
        <v>0</v>
      </c>
    </row>
    <row r="39" spans="1:15" x14ac:dyDescent="0.2">
      <c r="A39" s="14" t="s">
        <v>71</v>
      </c>
      <c r="B39" s="14" t="s">
        <v>72</v>
      </c>
      <c r="C39" s="231" t="s">
        <v>14</v>
      </c>
      <c r="D39" s="231">
        <f>SUM(D36:D38)</f>
        <v>28386.55</v>
      </c>
      <c r="E39" s="231">
        <f>SUM(E36:E38)</f>
        <v>3481</v>
      </c>
      <c r="F39" s="231">
        <f>SUM(F36:F38)</f>
        <v>664.5545454545454</v>
      </c>
      <c r="G39" s="231">
        <f>SUM(G36:G38)</f>
        <v>13596.036363636362</v>
      </c>
      <c r="H39" s="231"/>
      <c r="I39" s="231">
        <f>SUM(I36:I38)</f>
        <v>5322.477272727273</v>
      </c>
      <c r="J39" s="231"/>
      <c r="K39" s="231">
        <f>SUM(K36:K38)</f>
        <v>5322.477272727273</v>
      </c>
      <c r="L39" s="231">
        <f>SUM(L36:L38)</f>
        <v>1873512</v>
      </c>
      <c r="M39" s="15"/>
      <c r="N39" s="15">
        <v>1873512</v>
      </c>
      <c r="O39" s="15">
        <f>N39-L39</f>
        <v>0</v>
      </c>
    </row>
    <row r="40" spans="1:15" ht="6" customHeight="1" x14ac:dyDescent="0.2"/>
    <row r="41" spans="1:15" ht="42" customHeight="1" x14ac:dyDescent="0.2">
      <c r="A41" s="227" t="s">
        <v>587</v>
      </c>
    </row>
    <row r="42" spans="1:15" ht="9.6" customHeight="1" x14ac:dyDescent="0.2"/>
    <row r="43" spans="1:15" ht="12.75" customHeight="1" x14ac:dyDescent="0.2">
      <c r="A43" s="453" t="s">
        <v>56</v>
      </c>
      <c r="B43" s="453" t="s">
        <v>2</v>
      </c>
      <c r="C43" s="453" t="s">
        <v>57</v>
      </c>
      <c r="D43" s="453" t="s">
        <v>58</v>
      </c>
      <c r="E43" s="453"/>
      <c r="F43" s="453"/>
      <c r="G43" s="453"/>
      <c r="H43" s="453"/>
      <c r="I43" s="453"/>
      <c r="J43" s="453"/>
      <c r="K43" s="453"/>
      <c r="L43" s="453" t="s">
        <v>59</v>
      </c>
    </row>
    <row r="44" spans="1:15" ht="12.75" customHeight="1" x14ac:dyDescent="0.2">
      <c r="A44" s="453"/>
      <c r="B44" s="453"/>
      <c r="C44" s="453"/>
      <c r="D44" s="625" t="s">
        <v>155</v>
      </c>
      <c r="E44" s="454" t="s">
        <v>61</v>
      </c>
      <c r="F44" s="454"/>
      <c r="G44" s="454"/>
      <c r="H44" s="454"/>
      <c r="I44" s="454"/>
      <c r="J44" s="454"/>
      <c r="K44" s="454"/>
      <c r="L44" s="453"/>
    </row>
    <row r="45" spans="1:15" ht="27.6" customHeight="1" x14ac:dyDescent="0.2">
      <c r="A45" s="453"/>
      <c r="B45" s="453"/>
      <c r="C45" s="453"/>
      <c r="D45" s="625"/>
      <c r="E45" s="10" t="s">
        <v>62</v>
      </c>
      <c r="F45" s="10" t="s">
        <v>63</v>
      </c>
      <c r="G45" s="10" t="s">
        <v>64</v>
      </c>
      <c r="H45" s="454" t="s">
        <v>65</v>
      </c>
      <c r="I45" s="454"/>
      <c r="J45" s="454" t="s">
        <v>66</v>
      </c>
      <c r="K45" s="454"/>
      <c r="L45" s="453"/>
    </row>
    <row r="46" spans="1:15" ht="67.900000000000006" customHeight="1" x14ac:dyDescent="0.2">
      <c r="A46" s="453"/>
      <c r="B46" s="453"/>
      <c r="C46" s="453"/>
      <c r="D46" s="625"/>
      <c r="E46" s="10"/>
      <c r="F46" s="10"/>
      <c r="G46" s="10"/>
      <c r="H46" s="10" t="s">
        <v>67</v>
      </c>
      <c r="I46" s="10" t="s">
        <v>68</v>
      </c>
      <c r="J46" s="10" t="s">
        <v>67</v>
      </c>
      <c r="K46" s="10" t="s">
        <v>69</v>
      </c>
      <c r="L46" s="453"/>
    </row>
    <row r="47" spans="1:15" x14ac:dyDescent="0.2">
      <c r="A47" s="11">
        <v>1</v>
      </c>
      <c r="B47" s="11">
        <v>2</v>
      </c>
      <c r="C47" s="11">
        <v>3</v>
      </c>
      <c r="D47" s="11">
        <v>4</v>
      </c>
      <c r="E47" s="11">
        <v>5</v>
      </c>
      <c r="F47" s="11">
        <v>6</v>
      </c>
      <c r="G47" s="11">
        <v>7</v>
      </c>
      <c r="H47" s="11">
        <v>8</v>
      </c>
      <c r="I47" s="11">
        <v>9</v>
      </c>
      <c r="J47" s="11">
        <v>10</v>
      </c>
      <c r="K47" s="11">
        <v>11</v>
      </c>
      <c r="L47" s="11">
        <v>12</v>
      </c>
    </row>
    <row r="48" spans="1:15" ht="24" customHeight="1" x14ac:dyDescent="0.2">
      <c r="A48" s="8" t="s">
        <v>156</v>
      </c>
      <c r="B48" s="12" t="s">
        <v>10</v>
      </c>
      <c r="C48" s="231">
        <v>5.5</v>
      </c>
      <c r="D48" s="231">
        <f>ROUND(E48+F48+G48+I48+K48,2)</f>
        <v>28386.55</v>
      </c>
      <c r="E48" s="232">
        <v>3481</v>
      </c>
      <c r="F48" s="232">
        <v>664.5545454545454</v>
      </c>
      <c r="G48" s="231">
        <v>13596.036363636362</v>
      </c>
      <c r="H48" s="233">
        <v>30</v>
      </c>
      <c r="I48" s="231">
        <f>(E48+F48+G48)*H48/100</f>
        <v>5322.477272727273</v>
      </c>
      <c r="J48" s="234">
        <v>30</v>
      </c>
      <c r="K48" s="231">
        <f>(E48+F48+G48)*J48/100</f>
        <v>5322.477272727273</v>
      </c>
      <c r="L48" s="231">
        <f>ROUND(C48*D48*12,0)</f>
        <v>1873512</v>
      </c>
    </row>
    <row r="49" spans="1:27" x14ac:dyDescent="0.2">
      <c r="A49" s="12"/>
      <c r="B49" s="12" t="s">
        <v>11</v>
      </c>
      <c r="C49" s="231"/>
      <c r="D49" s="231">
        <f>ROUND(E49+F49+G49+I49+K49,2)</f>
        <v>0</v>
      </c>
      <c r="E49" s="231"/>
      <c r="F49" s="231"/>
      <c r="G49" s="231"/>
      <c r="H49" s="234"/>
      <c r="I49" s="231">
        <f t="shared" ref="I49:I50" si="4">(E49+F49+G49)*H49/100</f>
        <v>0</v>
      </c>
      <c r="J49" s="234"/>
      <c r="K49" s="231">
        <f t="shared" ref="K49:K50" si="5">(E49+F49+G49)*J49/100</f>
        <v>0</v>
      </c>
      <c r="L49" s="231">
        <f>C49*D49*12</f>
        <v>0</v>
      </c>
    </row>
    <row r="50" spans="1:27" x14ac:dyDescent="0.2">
      <c r="A50" s="12"/>
      <c r="B50" s="12"/>
      <c r="C50" s="231"/>
      <c r="D50" s="231">
        <f>ROUND(E50+F50+G50+I50+K50,2)</f>
        <v>0</v>
      </c>
      <c r="E50" s="231"/>
      <c r="F50" s="231"/>
      <c r="G50" s="231"/>
      <c r="H50" s="234"/>
      <c r="I50" s="231">
        <f t="shared" si="4"/>
        <v>0</v>
      </c>
      <c r="J50" s="234"/>
      <c r="K50" s="231">
        <f t="shared" si="5"/>
        <v>0</v>
      </c>
      <c r="L50" s="231">
        <f>C50*D50*12</f>
        <v>0</v>
      </c>
    </row>
    <row r="51" spans="1:27" x14ac:dyDescent="0.2">
      <c r="A51" s="14" t="s">
        <v>71</v>
      </c>
      <c r="B51" s="14" t="s">
        <v>72</v>
      </c>
      <c r="C51" s="231" t="s">
        <v>14</v>
      </c>
      <c r="D51" s="231">
        <f>SUM(D48:D50)</f>
        <v>28386.55</v>
      </c>
      <c r="E51" s="231">
        <f>SUM(E48:E50)</f>
        <v>3481</v>
      </c>
      <c r="F51" s="231">
        <f>SUM(F48:F50)</f>
        <v>664.5545454545454</v>
      </c>
      <c r="G51" s="231">
        <f>SUM(G48:G50)</f>
        <v>13596.036363636362</v>
      </c>
      <c r="H51" s="231"/>
      <c r="I51" s="231">
        <f>SUM(I48:I50)</f>
        <v>5322.477272727273</v>
      </c>
      <c r="J51" s="231"/>
      <c r="K51" s="231">
        <f>SUM(K48:K50)</f>
        <v>5322.477272727273</v>
      </c>
      <c r="L51" s="231">
        <f>SUM(L48:L50)</f>
        <v>1873512</v>
      </c>
      <c r="M51" s="15"/>
      <c r="N51" s="15">
        <v>1873512</v>
      </c>
      <c r="O51" s="15">
        <f>N51-L51</f>
        <v>0</v>
      </c>
    </row>
    <row r="53" spans="1:27" ht="23.25" customHeight="1" x14ac:dyDescent="0.2">
      <c r="A53" s="5" t="s">
        <v>82</v>
      </c>
      <c r="B53" s="5"/>
      <c r="C53" s="5"/>
      <c r="D53" s="5"/>
      <c r="E53" s="5"/>
      <c r="F53" s="5"/>
      <c r="G53" s="5"/>
      <c r="H53" s="5"/>
      <c r="I53" s="5"/>
      <c r="J53" s="5"/>
      <c r="K53" s="5"/>
      <c r="L53" s="5"/>
      <c r="M53" s="5"/>
      <c r="N53" s="64"/>
      <c r="O53" s="64"/>
      <c r="P53" s="64"/>
      <c r="Q53" s="64"/>
      <c r="R53" s="64"/>
      <c r="S53" s="64"/>
      <c r="T53" s="64"/>
      <c r="U53" s="64"/>
      <c r="V53" s="64"/>
      <c r="W53" s="64"/>
      <c r="X53" s="64"/>
      <c r="Y53" s="64"/>
      <c r="Z53" s="64"/>
      <c r="AA53" s="64"/>
    </row>
    <row r="54" spans="1:27" ht="31.9" customHeight="1" x14ac:dyDescent="0.2">
      <c r="A54" s="5" t="s">
        <v>83</v>
      </c>
      <c r="B54" s="5"/>
      <c r="C54" s="5"/>
      <c r="D54" s="5"/>
      <c r="E54" s="5"/>
      <c r="F54" s="5"/>
      <c r="G54" s="5"/>
      <c r="H54" s="5"/>
      <c r="I54" s="5"/>
      <c r="J54" s="5"/>
      <c r="K54" s="5"/>
      <c r="L54" s="5"/>
      <c r="M54" s="5"/>
      <c r="N54" s="64"/>
      <c r="O54" s="64"/>
      <c r="P54" s="64"/>
      <c r="Q54" s="64"/>
      <c r="R54" s="64"/>
      <c r="S54" s="64"/>
      <c r="T54" s="64"/>
      <c r="U54" s="64"/>
      <c r="V54" s="64"/>
      <c r="W54" s="64"/>
      <c r="X54" s="64"/>
      <c r="Y54" s="64"/>
      <c r="Z54" s="64"/>
      <c r="AA54" s="64"/>
    </row>
    <row r="55" spans="1:27" ht="13.5" customHeight="1" x14ac:dyDescent="0.2"/>
    <row r="56" spans="1:27" ht="13.5" customHeight="1" x14ac:dyDescent="0.2">
      <c r="A56" s="453" t="s">
        <v>36</v>
      </c>
      <c r="B56" s="453" t="s">
        <v>2</v>
      </c>
      <c r="C56" s="453" t="s">
        <v>21</v>
      </c>
      <c r="D56" s="453"/>
      <c r="E56" s="453"/>
      <c r="F56" s="9"/>
      <c r="G56" s="9"/>
      <c r="H56" s="9"/>
      <c r="I56" s="9"/>
      <c r="J56" s="9"/>
      <c r="K56" s="9"/>
    </row>
    <row r="57" spans="1:27" ht="12" customHeight="1" x14ac:dyDescent="0.2">
      <c r="A57" s="453"/>
      <c r="B57" s="453"/>
      <c r="C57" s="272" t="s">
        <v>477</v>
      </c>
      <c r="D57" s="272" t="s">
        <v>552</v>
      </c>
      <c r="E57" s="272" t="s">
        <v>579</v>
      </c>
      <c r="F57" s="9"/>
      <c r="G57" s="9"/>
      <c r="H57" s="9"/>
      <c r="I57" s="9"/>
      <c r="J57" s="9"/>
      <c r="K57" s="9"/>
    </row>
    <row r="58" spans="1:27" ht="38.25" x14ac:dyDescent="0.2">
      <c r="A58" s="453"/>
      <c r="B58" s="453"/>
      <c r="C58" s="10" t="s">
        <v>37</v>
      </c>
      <c r="D58" s="10" t="s">
        <v>38</v>
      </c>
      <c r="E58" s="10" t="s">
        <v>39</v>
      </c>
      <c r="F58" s="9"/>
      <c r="G58" s="9"/>
      <c r="H58" s="9"/>
      <c r="I58" s="9"/>
      <c r="J58" s="9"/>
      <c r="K58" s="9"/>
    </row>
    <row r="59" spans="1:27" ht="12.75" customHeight="1" x14ac:dyDescent="0.2">
      <c r="A59" s="453"/>
      <c r="B59" s="453"/>
      <c r="C59" s="10"/>
      <c r="D59" s="10"/>
      <c r="E59" s="10"/>
      <c r="F59" s="9"/>
      <c r="G59" s="9"/>
      <c r="H59" s="9"/>
      <c r="I59" s="9"/>
      <c r="J59" s="9"/>
      <c r="K59" s="9"/>
    </row>
    <row r="60" spans="1:27" ht="21" customHeight="1" x14ac:dyDescent="0.2">
      <c r="A60" s="122">
        <v>1</v>
      </c>
      <c r="B60" s="122">
        <v>2</v>
      </c>
      <c r="C60" s="122" t="s">
        <v>40</v>
      </c>
      <c r="D60" s="122" t="s">
        <v>41</v>
      </c>
      <c r="E60" s="122" t="s">
        <v>42</v>
      </c>
      <c r="F60" s="9"/>
      <c r="G60" s="9"/>
      <c r="H60" s="9"/>
      <c r="I60" s="9"/>
      <c r="J60" s="9"/>
      <c r="K60" s="9"/>
    </row>
    <row r="61" spans="1:27" ht="63.75" x14ac:dyDescent="0.2">
      <c r="A61" s="10" t="s">
        <v>84</v>
      </c>
      <c r="B61" s="10" t="s">
        <v>44</v>
      </c>
      <c r="C61" s="10"/>
      <c r="D61" s="10"/>
      <c r="E61" s="10"/>
      <c r="F61" s="9"/>
      <c r="G61" s="9"/>
      <c r="H61" s="9"/>
      <c r="I61" s="9"/>
      <c r="J61" s="9"/>
      <c r="K61" s="9"/>
    </row>
    <row r="62" spans="1:27" ht="76.5" x14ac:dyDescent="0.2">
      <c r="A62" s="10" t="s">
        <v>85</v>
      </c>
      <c r="B62" s="10" t="s">
        <v>46</v>
      </c>
      <c r="C62" s="10"/>
      <c r="D62" s="10"/>
      <c r="E62" s="10"/>
      <c r="F62" s="9"/>
      <c r="G62" s="9"/>
      <c r="H62" s="9"/>
      <c r="I62" s="9"/>
      <c r="J62" s="9"/>
      <c r="K62" s="9"/>
    </row>
    <row r="63" spans="1:27" ht="38.25" x14ac:dyDescent="0.2">
      <c r="A63" s="10" t="s">
        <v>86</v>
      </c>
      <c r="B63" s="10" t="s">
        <v>48</v>
      </c>
      <c r="C63" s="16">
        <f>F88</f>
        <v>565585.17000000004</v>
      </c>
      <c r="D63" s="16">
        <f>G88</f>
        <v>565802.88</v>
      </c>
      <c r="E63" s="16">
        <f>H88</f>
        <v>565802.88</v>
      </c>
      <c r="F63" s="9"/>
      <c r="G63" s="9"/>
      <c r="H63" s="9"/>
      <c r="I63" s="9"/>
      <c r="J63" s="9"/>
      <c r="K63" s="9"/>
    </row>
    <row r="64" spans="1:27" ht="63.75" x14ac:dyDescent="0.2">
      <c r="A64" s="10" t="s">
        <v>87</v>
      </c>
      <c r="B64" s="10" t="s">
        <v>50</v>
      </c>
      <c r="C64" s="10"/>
      <c r="D64" s="10"/>
      <c r="E64" s="10"/>
      <c r="F64" s="9"/>
      <c r="G64" s="9"/>
      <c r="H64" s="9"/>
      <c r="I64" s="9"/>
      <c r="J64" s="9"/>
      <c r="K64" s="9"/>
    </row>
    <row r="65" spans="1:27" ht="76.5" x14ac:dyDescent="0.2">
      <c r="A65" s="10" t="s">
        <v>88</v>
      </c>
      <c r="B65" s="10" t="s">
        <v>52</v>
      </c>
      <c r="C65" s="10"/>
      <c r="D65" s="10"/>
      <c r="E65" s="10"/>
      <c r="F65" s="9"/>
      <c r="G65" s="9"/>
      <c r="H65" s="9"/>
      <c r="I65" s="9"/>
      <c r="J65" s="9"/>
      <c r="K65" s="9"/>
    </row>
    <row r="66" spans="1:27" ht="76.5" x14ac:dyDescent="0.2">
      <c r="A66" s="10" t="s">
        <v>89</v>
      </c>
      <c r="B66" s="10" t="s">
        <v>54</v>
      </c>
      <c r="C66" s="10">
        <f>C61-C62+C63-C64+C65</f>
        <v>565585.17000000004</v>
      </c>
      <c r="D66" s="10">
        <f>D61-D62+D63-D64+D65</f>
        <v>565802.88</v>
      </c>
      <c r="E66" s="10">
        <f>E61-E62+E63-E64+E65</f>
        <v>565802.88</v>
      </c>
      <c r="F66" s="9"/>
      <c r="G66" s="9"/>
      <c r="H66" s="9"/>
      <c r="I66" s="9"/>
      <c r="J66" s="9"/>
      <c r="K66" s="9"/>
    </row>
    <row r="67" spans="1:27" x14ac:dyDescent="0.2">
      <c r="A67" s="9"/>
      <c r="B67" s="9"/>
      <c r="C67" s="9"/>
      <c r="D67" s="9"/>
      <c r="E67" s="9"/>
      <c r="F67" s="9"/>
      <c r="G67" s="9"/>
      <c r="H67" s="9"/>
      <c r="I67" s="9"/>
      <c r="J67" s="9"/>
      <c r="K67" s="9"/>
      <c r="L67" s="9"/>
      <c r="M67" s="9"/>
    </row>
    <row r="68" spans="1:27" ht="30.75" customHeight="1" x14ac:dyDescent="0.2">
      <c r="A68" s="29" t="s">
        <v>90</v>
      </c>
      <c r="B68" s="29"/>
      <c r="C68" s="29"/>
      <c r="D68" s="29"/>
      <c r="E68" s="29"/>
      <c r="F68" s="29"/>
      <c r="G68" s="29"/>
      <c r="H68" s="29"/>
      <c r="I68" s="5"/>
      <c r="J68" s="5"/>
      <c r="K68" s="5"/>
      <c r="L68" s="5"/>
      <c r="M68" s="5"/>
      <c r="N68" s="64"/>
      <c r="O68" s="64"/>
      <c r="P68" s="64"/>
      <c r="Q68" s="64"/>
      <c r="R68" s="64"/>
      <c r="S68" s="64"/>
      <c r="T68" s="64"/>
      <c r="U68" s="64"/>
      <c r="V68" s="64"/>
      <c r="W68" s="64"/>
      <c r="X68" s="64"/>
      <c r="Y68" s="64"/>
      <c r="Z68" s="64"/>
      <c r="AA68" s="64"/>
    </row>
    <row r="69" spans="1:27" ht="25.5" customHeight="1" x14ac:dyDescent="0.2">
      <c r="A69" s="453" t="s">
        <v>91</v>
      </c>
      <c r="B69" s="10" t="s">
        <v>2</v>
      </c>
      <c r="C69" s="10" t="s">
        <v>92</v>
      </c>
      <c r="D69" s="10"/>
      <c r="E69" s="10"/>
      <c r="F69" s="10" t="s">
        <v>93</v>
      </c>
      <c r="G69" s="10"/>
      <c r="H69" s="10"/>
    </row>
    <row r="70" spans="1:27" x14ac:dyDescent="0.2">
      <c r="A70" s="453"/>
      <c r="B70" s="10"/>
      <c r="C70" s="272" t="s">
        <v>477</v>
      </c>
      <c r="D70" s="272" t="s">
        <v>552</v>
      </c>
      <c r="E70" s="272" t="s">
        <v>579</v>
      </c>
      <c r="F70" s="272" t="s">
        <v>477</v>
      </c>
      <c r="G70" s="272" t="s">
        <v>552</v>
      </c>
      <c r="H70" s="272" t="s">
        <v>579</v>
      </c>
    </row>
    <row r="71" spans="1:27" ht="37.5" customHeight="1" x14ac:dyDescent="0.2">
      <c r="A71" s="453"/>
      <c r="B71" s="10"/>
      <c r="C71" s="10" t="s">
        <v>3</v>
      </c>
      <c r="D71" s="10" t="s">
        <v>4</v>
      </c>
      <c r="E71" s="10" t="s">
        <v>5</v>
      </c>
      <c r="F71" s="10" t="s">
        <v>3</v>
      </c>
      <c r="G71" s="10" t="s">
        <v>4</v>
      </c>
      <c r="H71" s="10" t="s">
        <v>5</v>
      </c>
    </row>
    <row r="72" spans="1:27" x14ac:dyDescent="0.2">
      <c r="A72" s="122">
        <v>1</v>
      </c>
      <c r="B72" s="122">
        <v>2</v>
      </c>
      <c r="C72" s="122">
        <v>3</v>
      </c>
      <c r="D72" s="122">
        <v>4</v>
      </c>
      <c r="E72" s="122">
        <v>5</v>
      </c>
      <c r="F72" s="122">
        <v>6</v>
      </c>
      <c r="G72" s="122">
        <v>7</v>
      </c>
      <c r="H72" s="122">
        <v>8</v>
      </c>
    </row>
    <row r="73" spans="1:27" ht="24" customHeight="1" x14ac:dyDescent="0.2">
      <c r="A73" s="10" t="s">
        <v>95</v>
      </c>
      <c r="B73" s="230" t="s">
        <v>44</v>
      </c>
      <c r="C73" s="230"/>
      <c r="D73" s="230"/>
      <c r="E73" s="230"/>
      <c r="F73" s="10"/>
      <c r="G73" s="10"/>
      <c r="H73" s="10"/>
    </row>
    <row r="74" spans="1:27" ht="12" customHeight="1" x14ac:dyDescent="0.2">
      <c r="A74" s="10" t="s">
        <v>61</v>
      </c>
      <c r="B74" s="649" t="s">
        <v>96</v>
      </c>
      <c r="C74" s="647">
        <f>$L$27</f>
        <v>1872787.67</v>
      </c>
      <c r="D74" s="647">
        <f>$L$39</f>
        <v>1873512</v>
      </c>
      <c r="E74" s="647">
        <f>$L$51</f>
        <v>1873512</v>
      </c>
      <c r="F74" s="647">
        <f>ROUND(C74*22%,0)+3.17</f>
        <v>412016.17</v>
      </c>
      <c r="G74" s="647">
        <f>ROUND(D74*22%,0)+1.88</f>
        <v>412174.88</v>
      </c>
      <c r="H74" s="647">
        <f>ROUND(E74*22%,0)+1.88</f>
        <v>412174.88</v>
      </c>
    </row>
    <row r="75" spans="1:27" ht="13.5" customHeight="1" x14ac:dyDescent="0.2">
      <c r="A75" s="10" t="s">
        <v>97</v>
      </c>
      <c r="B75" s="650"/>
      <c r="C75" s="648"/>
      <c r="D75" s="648"/>
      <c r="E75" s="648"/>
      <c r="F75" s="648"/>
      <c r="G75" s="648"/>
      <c r="H75" s="648"/>
    </row>
    <row r="76" spans="1:27" ht="13.5" customHeight="1" x14ac:dyDescent="0.2">
      <c r="A76" s="10" t="s">
        <v>98</v>
      </c>
      <c r="B76" s="230" t="s">
        <v>99</v>
      </c>
      <c r="C76" s="16"/>
      <c r="D76" s="16"/>
      <c r="E76" s="16"/>
      <c r="F76" s="16"/>
      <c r="G76" s="16"/>
      <c r="H76" s="16"/>
    </row>
    <row r="77" spans="1:27" ht="59.25" customHeight="1" x14ac:dyDescent="0.2">
      <c r="A77" s="10" t="s">
        <v>100</v>
      </c>
      <c r="B77" s="230" t="s">
        <v>101</v>
      </c>
      <c r="C77" s="16"/>
      <c r="D77" s="16"/>
      <c r="E77" s="16"/>
      <c r="F77" s="16"/>
      <c r="G77" s="16"/>
      <c r="H77" s="16"/>
      <c r="J77" s="114"/>
      <c r="K77" s="114"/>
      <c r="L77" s="114"/>
    </row>
    <row r="78" spans="1:27" ht="51.75" customHeight="1" x14ac:dyDescent="0.2">
      <c r="A78" s="10" t="s">
        <v>400</v>
      </c>
      <c r="B78" s="230" t="s">
        <v>46</v>
      </c>
      <c r="C78" s="16"/>
      <c r="D78" s="16"/>
      <c r="E78" s="16"/>
      <c r="F78" s="16"/>
      <c r="G78" s="16"/>
      <c r="H78" s="16"/>
    </row>
    <row r="79" spans="1:27" ht="13.15" customHeight="1" x14ac:dyDescent="0.2">
      <c r="A79" s="10" t="s">
        <v>61</v>
      </c>
      <c r="B79" s="649" t="s">
        <v>103</v>
      </c>
      <c r="C79" s="647">
        <f>C74</f>
        <v>1872787.67</v>
      </c>
      <c r="D79" s="647">
        <f>D74</f>
        <v>1873512</v>
      </c>
      <c r="E79" s="647">
        <f>E74</f>
        <v>1873512</v>
      </c>
      <c r="F79" s="647">
        <f>ROUND(C79*2.9%,0)</f>
        <v>54311</v>
      </c>
      <c r="G79" s="647">
        <f t="shared" ref="G79:H79" si="6">ROUND(D79*2.9%,0)</f>
        <v>54332</v>
      </c>
      <c r="H79" s="647">
        <f t="shared" si="6"/>
        <v>54332</v>
      </c>
    </row>
    <row r="80" spans="1:27" ht="25.5" customHeight="1" x14ac:dyDescent="0.2">
      <c r="A80" s="10" t="s">
        <v>104</v>
      </c>
      <c r="B80" s="650"/>
      <c r="C80" s="648"/>
      <c r="D80" s="648"/>
      <c r="E80" s="648"/>
      <c r="F80" s="648"/>
      <c r="G80" s="648"/>
      <c r="H80" s="648"/>
    </row>
    <row r="81" spans="1:62" ht="26.45" customHeight="1" x14ac:dyDescent="0.2">
      <c r="A81" s="10" t="s">
        <v>105</v>
      </c>
      <c r="B81" s="230" t="s">
        <v>106</v>
      </c>
      <c r="C81" s="16"/>
      <c r="D81" s="16"/>
      <c r="E81" s="16"/>
      <c r="F81" s="16"/>
      <c r="G81" s="16"/>
      <c r="H81" s="16"/>
    </row>
    <row r="82" spans="1:62" ht="26.25" customHeight="1" x14ac:dyDescent="0.2">
      <c r="A82" s="10" t="s">
        <v>107</v>
      </c>
      <c r="B82" s="230" t="s">
        <v>108</v>
      </c>
      <c r="C82" s="16">
        <f>C74</f>
        <v>1872787.67</v>
      </c>
      <c r="D82" s="16">
        <f>D74</f>
        <v>1873512</v>
      </c>
      <c r="E82" s="16">
        <f>E74</f>
        <v>1873512</v>
      </c>
      <c r="F82" s="16">
        <f>ROUND(C82*0.2%,0)</f>
        <v>3746</v>
      </c>
      <c r="G82" s="16">
        <f t="shared" ref="G82:H82" si="7">ROUND(D82*0.2%,0)</f>
        <v>3747</v>
      </c>
      <c r="H82" s="16">
        <f t="shared" si="7"/>
        <v>3747</v>
      </c>
    </row>
    <row r="83" spans="1:62" ht="26.25" customHeight="1" x14ac:dyDescent="0.2">
      <c r="A83" s="10" t="s">
        <v>109</v>
      </c>
      <c r="B83" s="230" t="s">
        <v>110</v>
      </c>
      <c r="C83" s="16"/>
      <c r="D83" s="16"/>
      <c r="E83" s="16"/>
      <c r="F83" s="16"/>
      <c r="G83" s="16"/>
      <c r="H83" s="16"/>
    </row>
    <row r="84" spans="1:62" ht="37.5" customHeight="1" x14ac:dyDescent="0.2">
      <c r="A84" s="10" t="s">
        <v>111</v>
      </c>
      <c r="B84" s="230"/>
      <c r="C84" s="16"/>
      <c r="D84" s="16"/>
      <c r="E84" s="16"/>
      <c r="F84" s="16"/>
      <c r="G84" s="16"/>
      <c r="H84" s="16"/>
    </row>
    <row r="85" spans="1:62" ht="26.25" customHeight="1" x14ac:dyDescent="0.2">
      <c r="A85" s="10" t="s">
        <v>112</v>
      </c>
      <c r="B85" s="230" t="s">
        <v>48</v>
      </c>
      <c r="C85" s="16"/>
      <c r="D85" s="16"/>
      <c r="E85" s="16"/>
      <c r="F85" s="16"/>
      <c r="G85" s="16"/>
      <c r="H85" s="16"/>
    </row>
    <row r="86" spans="1:62" ht="12.75" customHeight="1" x14ac:dyDescent="0.2">
      <c r="A86" s="10" t="s">
        <v>61</v>
      </c>
      <c r="B86" s="649" t="s">
        <v>113</v>
      </c>
      <c r="C86" s="647">
        <f>C74</f>
        <v>1872787.67</v>
      </c>
      <c r="D86" s="647">
        <f>D74</f>
        <v>1873512</v>
      </c>
      <c r="E86" s="647">
        <f>E74</f>
        <v>1873512</v>
      </c>
      <c r="F86" s="647">
        <f>ROUND(C86*5.1%,0)</f>
        <v>95512</v>
      </c>
      <c r="G86" s="647">
        <f t="shared" ref="G86:H86" si="8">ROUND(D86*5.1%,0)</f>
        <v>95549</v>
      </c>
      <c r="H86" s="647">
        <f t="shared" si="8"/>
        <v>95549</v>
      </c>
    </row>
    <row r="87" spans="1:62" ht="36" customHeight="1" x14ac:dyDescent="0.2">
      <c r="A87" s="10" t="s">
        <v>114</v>
      </c>
      <c r="B87" s="650"/>
      <c r="C87" s="648"/>
      <c r="D87" s="648"/>
      <c r="E87" s="648"/>
      <c r="F87" s="648"/>
      <c r="G87" s="648"/>
      <c r="H87" s="648"/>
    </row>
    <row r="88" spans="1:62" x14ac:dyDescent="0.2">
      <c r="A88" s="16" t="s">
        <v>71</v>
      </c>
      <c r="B88" s="16" t="s">
        <v>72</v>
      </c>
      <c r="C88" s="16" t="s">
        <v>14</v>
      </c>
      <c r="D88" s="16" t="s">
        <v>14</v>
      </c>
      <c r="E88" s="16" t="s">
        <v>14</v>
      </c>
      <c r="F88" s="16">
        <f>ROUND(SUM(F73:F87),2)</f>
        <v>565585.17000000004</v>
      </c>
      <c r="G88" s="16">
        <f>ROUND(SUM(G73:G87),2)</f>
        <v>565802.88</v>
      </c>
      <c r="H88" s="16">
        <f>ROUND(SUM(H73:H87),2)</f>
        <v>565802.88</v>
      </c>
      <c r="I88" s="15"/>
      <c r="J88" s="15"/>
      <c r="N88" s="221">
        <v>565585.16999999993</v>
      </c>
      <c r="O88" s="15">
        <f>N88-F88</f>
        <v>0</v>
      </c>
      <c r="P88" s="15">
        <v>565802.87999999989</v>
      </c>
      <c r="Q88" s="15">
        <f>P88-G88</f>
        <v>0</v>
      </c>
      <c r="R88" s="15">
        <v>565802.87999999989</v>
      </c>
      <c r="S88" s="15">
        <f>R88-H88</f>
        <v>0</v>
      </c>
    </row>
    <row r="89" spans="1:62" ht="24.75" customHeight="1" x14ac:dyDescent="0.2">
      <c r="A89" s="646" t="s">
        <v>409</v>
      </c>
      <c r="B89" s="646"/>
      <c r="C89" s="646"/>
      <c r="D89" s="646"/>
      <c r="E89" s="646"/>
      <c r="F89" s="646"/>
      <c r="G89" s="646"/>
      <c r="H89" s="646"/>
      <c r="I89" s="646"/>
      <c r="J89" s="646"/>
      <c r="K89" s="646"/>
      <c r="L89" s="646"/>
      <c r="M89" s="646"/>
    </row>
    <row r="91" spans="1:62" s="156" customFormat="1" ht="23.25" customHeight="1" x14ac:dyDescent="0.2">
      <c r="A91" s="78" t="s">
        <v>562</v>
      </c>
      <c r="B91" s="78"/>
      <c r="C91" s="78"/>
      <c r="D91" s="78"/>
      <c r="E91" s="78"/>
      <c r="F91" s="78"/>
      <c r="G91" s="78"/>
      <c r="H91" s="78"/>
      <c r="I91" s="78"/>
      <c r="J91" s="78"/>
      <c r="K91" s="78"/>
      <c r="L91" s="78"/>
      <c r="M91" s="78"/>
      <c r="N91" s="237"/>
      <c r="O91" s="237"/>
      <c r="P91" s="237"/>
      <c r="Q91" s="237"/>
      <c r="R91" s="237"/>
      <c r="S91" s="237"/>
      <c r="T91" s="237"/>
      <c r="U91" s="237"/>
      <c r="V91" s="237"/>
      <c r="W91" s="237"/>
      <c r="X91" s="237"/>
      <c r="Y91" s="237"/>
      <c r="Z91" s="237"/>
      <c r="AA91" s="237"/>
      <c r="AB91" s="238"/>
      <c r="AC91" s="238"/>
      <c r="AD91" s="238"/>
      <c r="AE91" s="238"/>
      <c r="AF91" s="238"/>
      <c r="AG91" s="238"/>
      <c r="AH91" s="238"/>
      <c r="AI91" s="238"/>
      <c r="AJ91" s="238"/>
      <c r="AK91" s="238"/>
      <c r="AL91" s="238"/>
      <c r="AM91" s="238"/>
      <c r="AN91" s="238"/>
      <c r="AO91" s="238"/>
      <c r="AP91" s="238"/>
      <c r="AQ91" s="238"/>
      <c r="AR91" s="238"/>
      <c r="AS91" s="238"/>
      <c r="AT91" s="238"/>
      <c r="AU91" s="238"/>
      <c r="AV91" s="238"/>
      <c r="AW91" s="238"/>
      <c r="AX91" s="238"/>
      <c r="AY91" s="238"/>
      <c r="AZ91" s="238"/>
      <c r="BA91" s="238"/>
      <c r="BB91" s="238"/>
      <c r="BC91" s="238"/>
      <c r="BD91" s="238"/>
      <c r="BE91" s="238"/>
      <c r="BF91" s="238"/>
      <c r="BG91" s="238"/>
      <c r="BH91" s="238"/>
      <c r="BI91" s="238"/>
      <c r="BJ91" s="238"/>
    </row>
    <row r="92" spans="1:62" s="156" customFormat="1" ht="31.9" customHeight="1" x14ac:dyDescent="0.2">
      <c r="A92" s="78" t="s">
        <v>563</v>
      </c>
      <c r="B92" s="78"/>
      <c r="C92" s="78"/>
      <c r="D92" s="78"/>
      <c r="E92" s="78"/>
      <c r="F92" s="78"/>
      <c r="G92" s="78"/>
      <c r="H92" s="78"/>
      <c r="I92" s="78"/>
      <c r="J92" s="78"/>
      <c r="K92" s="78"/>
      <c r="L92" s="78"/>
      <c r="M92" s="78"/>
      <c r="N92" s="237"/>
      <c r="O92" s="237"/>
      <c r="P92" s="237"/>
      <c r="Q92" s="237"/>
      <c r="R92" s="237"/>
      <c r="S92" s="237"/>
      <c r="T92" s="237"/>
      <c r="U92" s="237"/>
      <c r="V92" s="237"/>
      <c r="W92" s="237"/>
      <c r="X92" s="237"/>
      <c r="Y92" s="237"/>
      <c r="Z92" s="237"/>
      <c r="AA92" s="237"/>
      <c r="AB92" s="238"/>
      <c r="AC92" s="238"/>
      <c r="AD92" s="238"/>
      <c r="AE92" s="238"/>
      <c r="AF92" s="238"/>
      <c r="AG92" s="238"/>
      <c r="AH92" s="238"/>
      <c r="AI92" s="238"/>
      <c r="AJ92" s="238"/>
      <c r="AK92" s="238"/>
      <c r="AL92" s="238"/>
      <c r="AM92" s="238"/>
      <c r="AN92" s="238"/>
      <c r="AO92" s="238"/>
      <c r="AP92" s="238"/>
      <c r="AQ92" s="238"/>
      <c r="AR92" s="238"/>
      <c r="AS92" s="238"/>
      <c r="AT92" s="238"/>
      <c r="AU92" s="238"/>
      <c r="AV92" s="238"/>
      <c r="AW92" s="238"/>
      <c r="AX92" s="238"/>
      <c r="AY92" s="238"/>
      <c r="AZ92" s="238"/>
      <c r="BA92" s="238"/>
      <c r="BB92" s="238"/>
      <c r="BC92" s="238"/>
      <c r="BD92" s="238"/>
      <c r="BE92" s="238"/>
      <c r="BF92" s="238"/>
      <c r="BG92" s="238"/>
      <c r="BH92" s="238"/>
      <c r="BI92" s="238"/>
      <c r="BJ92" s="238"/>
    </row>
    <row r="93" spans="1:62" s="156" customFormat="1" ht="13.5" customHeight="1" x14ac:dyDescent="0.2">
      <c r="N93" s="238"/>
      <c r="O93" s="238"/>
      <c r="P93" s="238"/>
      <c r="Q93" s="238"/>
      <c r="R93" s="238"/>
      <c r="S93" s="238"/>
      <c r="T93" s="238"/>
      <c r="U93" s="238"/>
      <c r="V93" s="238"/>
      <c r="W93" s="238"/>
      <c r="X93" s="238"/>
      <c r="Y93" s="238"/>
      <c r="Z93" s="238"/>
      <c r="AA93" s="238"/>
      <c r="AB93" s="238"/>
      <c r="AC93" s="238"/>
      <c r="AD93" s="238"/>
      <c r="AE93" s="238"/>
      <c r="AF93" s="238"/>
      <c r="AG93" s="238"/>
      <c r="AH93" s="238"/>
      <c r="AI93" s="238"/>
      <c r="AJ93" s="238"/>
      <c r="AK93" s="238"/>
      <c r="AL93" s="238"/>
      <c r="AM93" s="238"/>
      <c r="AN93" s="238"/>
      <c r="AO93" s="238"/>
      <c r="AP93" s="238"/>
      <c r="AQ93" s="238"/>
      <c r="AR93" s="238"/>
      <c r="AS93" s="238"/>
      <c r="AT93" s="238"/>
      <c r="AU93" s="238"/>
      <c r="AV93" s="238"/>
      <c r="AW93" s="238"/>
      <c r="AX93" s="238"/>
      <c r="AY93" s="238"/>
      <c r="AZ93" s="238"/>
      <c r="BA93" s="238"/>
      <c r="BB93" s="238"/>
      <c r="BC93" s="238"/>
      <c r="BD93" s="238"/>
      <c r="BE93" s="238"/>
      <c r="BF93" s="238"/>
      <c r="BG93" s="238"/>
      <c r="BH93" s="238"/>
      <c r="BI93" s="238"/>
      <c r="BJ93" s="238"/>
    </row>
    <row r="94" spans="1:62" s="156" customFormat="1" ht="13.5" customHeight="1" x14ac:dyDescent="0.2">
      <c r="A94" s="625" t="s">
        <v>36</v>
      </c>
      <c r="B94" s="625" t="s">
        <v>2</v>
      </c>
      <c r="C94" s="625" t="s">
        <v>21</v>
      </c>
      <c r="D94" s="625"/>
      <c r="E94" s="625"/>
      <c r="F94" s="157"/>
      <c r="G94" s="157"/>
      <c r="H94" s="157"/>
      <c r="I94" s="157"/>
      <c r="J94" s="157"/>
      <c r="K94" s="157"/>
      <c r="N94" s="238"/>
      <c r="O94" s="238"/>
      <c r="P94" s="238"/>
      <c r="Q94" s="238"/>
      <c r="R94" s="238"/>
      <c r="S94" s="238"/>
      <c r="T94" s="238"/>
      <c r="U94" s="238"/>
      <c r="V94" s="238"/>
      <c r="W94" s="238"/>
      <c r="X94" s="238"/>
      <c r="Y94" s="238"/>
      <c r="Z94" s="238"/>
      <c r="AA94" s="238"/>
      <c r="AB94" s="238"/>
      <c r="AC94" s="238"/>
      <c r="AD94" s="238"/>
      <c r="AE94" s="238"/>
      <c r="AF94" s="238"/>
      <c r="AG94" s="238"/>
      <c r="AH94" s="238"/>
      <c r="AI94" s="238"/>
      <c r="AJ94" s="238"/>
      <c r="AK94" s="238"/>
      <c r="AL94" s="238"/>
      <c r="AM94" s="238"/>
      <c r="AN94" s="238"/>
      <c r="AO94" s="238"/>
      <c r="AP94" s="238"/>
      <c r="AQ94" s="238"/>
      <c r="AR94" s="238"/>
      <c r="AS94" s="238"/>
      <c r="AT94" s="238"/>
      <c r="AU94" s="238"/>
      <c r="AV94" s="238"/>
      <c r="AW94" s="238"/>
      <c r="AX94" s="238"/>
      <c r="AY94" s="238"/>
      <c r="AZ94" s="238"/>
      <c r="BA94" s="238"/>
      <c r="BB94" s="238"/>
      <c r="BC94" s="238"/>
      <c r="BD94" s="238"/>
      <c r="BE94" s="238"/>
      <c r="BF94" s="238"/>
      <c r="BG94" s="238"/>
      <c r="BH94" s="238"/>
      <c r="BI94" s="238"/>
      <c r="BJ94" s="238"/>
    </row>
    <row r="95" spans="1:62" s="156" customFormat="1" ht="12" customHeight="1" x14ac:dyDescent="0.2">
      <c r="A95" s="625"/>
      <c r="B95" s="625"/>
      <c r="C95" s="272" t="s">
        <v>477</v>
      </c>
      <c r="D95" s="272" t="s">
        <v>552</v>
      </c>
      <c r="E95" s="272" t="s">
        <v>579</v>
      </c>
      <c r="F95" s="157"/>
      <c r="G95" s="157"/>
      <c r="H95" s="157"/>
      <c r="I95" s="157"/>
      <c r="J95" s="157"/>
      <c r="K95" s="157"/>
      <c r="N95" s="238"/>
      <c r="O95" s="238"/>
      <c r="P95" s="238"/>
      <c r="Q95" s="238"/>
      <c r="R95" s="238"/>
      <c r="S95" s="238"/>
      <c r="T95" s="238"/>
      <c r="U95" s="238"/>
      <c r="V95" s="238"/>
      <c r="W95" s="238"/>
      <c r="X95" s="238"/>
      <c r="Y95" s="238"/>
      <c r="Z95" s="238"/>
      <c r="AA95" s="238"/>
      <c r="AB95" s="238"/>
      <c r="AC95" s="238"/>
      <c r="AD95" s="238"/>
      <c r="AE95" s="238"/>
      <c r="AF95" s="238"/>
      <c r="AG95" s="238"/>
      <c r="AH95" s="238"/>
      <c r="AI95" s="238"/>
      <c r="AJ95" s="238"/>
      <c r="AK95" s="238"/>
      <c r="AL95" s="238"/>
      <c r="AM95" s="238"/>
      <c r="AN95" s="238"/>
      <c r="AO95" s="238"/>
      <c r="AP95" s="238"/>
      <c r="AQ95" s="238"/>
      <c r="AR95" s="238"/>
      <c r="AS95" s="238"/>
      <c r="AT95" s="238"/>
      <c r="AU95" s="238"/>
      <c r="AV95" s="238"/>
      <c r="AW95" s="238"/>
      <c r="AX95" s="238"/>
      <c r="AY95" s="238"/>
      <c r="AZ95" s="238"/>
      <c r="BA95" s="238"/>
      <c r="BB95" s="238"/>
      <c r="BC95" s="238"/>
      <c r="BD95" s="238"/>
      <c r="BE95" s="238"/>
      <c r="BF95" s="238"/>
      <c r="BG95" s="238"/>
      <c r="BH95" s="238"/>
      <c r="BI95" s="238"/>
      <c r="BJ95" s="238"/>
    </row>
    <row r="96" spans="1:62" s="156" customFormat="1" ht="38.25" x14ac:dyDescent="0.2">
      <c r="A96" s="625"/>
      <c r="B96" s="625"/>
      <c r="C96" s="18" t="s">
        <v>37</v>
      </c>
      <c r="D96" s="18" t="s">
        <v>38</v>
      </c>
      <c r="E96" s="18" t="s">
        <v>39</v>
      </c>
      <c r="F96" s="157"/>
      <c r="G96" s="157"/>
      <c r="H96" s="157"/>
      <c r="I96" s="157"/>
      <c r="J96" s="157"/>
      <c r="K96" s="157"/>
      <c r="N96" s="238"/>
      <c r="O96" s="238"/>
      <c r="P96" s="238"/>
      <c r="Q96" s="238"/>
      <c r="R96" s="238"/>
      <c r="S96" s="238"/>
      <c r="T96" s="238"/>
      <c r="U96" s="238"/>
      <c r="V96" s="238"/>
      <c r="W96" s="238"/>
      <c r="X96" s="238"/>
      <c r="Y96" s="238"/>
      <c r="Z96" s="238"/>
      <c r="AA96" s="238"/>
      <c r="AB96" s="238"/>
      <c r="AC96" s="238"/>
      <c r="AD96" s="238"/>
      <c r="AE96" s="238"/>
      <c r="AF96" s="238"/>
      <c r="AG96" s="238"/>
      <c r="AH96" s="238"/>
      <c r="AI96" s="238"/>
      <c r="AJ96" s="238"/>
      <c r="AK96" s="238"/>
      <c r="AL96" s="238"/>
      <c r="AM96" s="238"/>
      <c r="AN96" s="238"/>
      <c r="AO96" s="238"/>
      <c r="AP96" s="238"/>
      <c r="AQ96" s="238"/>
      <c r="AR96" s="238"/>
      <c r="AS96" s="238"/>
      <c r="AT96" s="238"/>
      <c r="AU96" s="238"/>
      <c r="AV96" s="238"/>
      <c r="AW96" s="238"/>
      <c r="AX96" s="238"/>
      <c r="AY96" s="238"/>
      <c r="AZ96" s="238"/>
      <c r="BA96" s="238"/>
      <c r="BB96" s="238"/>
      <c r="BC96" s="238"/>
      <c r="BD96" s="238"/>
      <c r="BE96" s="238"/>
      <c r="BF96" s="238"/>
      <c r="BG96" s="238"/>
      <c r="BH96" s="238"/>
      <c r="BI96" s="238"/>
      <c r="BJ96" s="238"/>
    </row>
    <row r="97" spans="1:62" s="156" customFormat="1" ht="12.75" customHeight="1" x14ac:dyDescent="0.2">
      <c r="A97" s="625"/>
      <c r="B97" s="625"/>
      <c r="C97" s="18"/>
      <c r="D97" s="18"/>
      <c r="E97" s="18"/>
      <c r="F97" s="157"/>
      <c r="G97" s="157"/>
      <c r="H97" s="157"/>
      <c r="I97" s="157"/>
      <c r="J97" s="157"/>
      <c r="K97" s="157"/>
      <c r="N97" s="238"/>
      <c r="O97" s="238"/>
      <c r="P97" s="238"/>
      <c r="Q97" s="238"/>
      <c r="R97" s="238"/>
      <c r="S97" s="238"/>
      <c r="T97" s="238"/>
      <c r="U97" s="238"/>
      <c r="V97" s="238"/>
      <c r="W97" s="238"/>
      <c r="X97" s="238"/>
      <c r="Y97" s="238"/>
      <c r="Z97" s="238"/>
      <c r="AA97" s="238"/>
      <c r="AB97" s="238"/>
      <c r="AC97" s="238"/>
      <c r="AD97" s="238"/>
      <c r="AE97" s="238"/>
      <c r="AF97" s="238"/>
      <c r="AG97" s="238"/>
      <c r="AH97" s="238"/>
      <c r="AI97" s="238"/>
      <c r="AJ97" s="238"/>
      <c r="AK97" s="238"/>
      <c r="AL97" s="238"/>
      <c r="AM97" s="238"/>
      <c r="AN97" s="238"/>
      <c r="AO97" s="238"/>
      <c r="AP97" s="238"/>
      <c r="AQ97" s="238"/>
      <c r="AR97" s="238"/>
      <c r="AS97" s="238"/>
      <c r="AT97" s="238"/>
      <c r="AU97" s="238"/>
      <c r="AV97" s="238"/>
      <c r="AW97" s="238"/>
      <c r="AX97" s="238"/>
      <c r="AY97" s="238"/>
      <c r="AZ97" s="238"/>
      <c r="BA97" s="238"/>
      <c r="BB97" s="238"/>
      <c r="BC97" s="238"/>
      <c r="BD97" s="238"/>
      <c r="BE97" s="238"/>
      <c r="BF97" s="238"/>
      <c r="BG97" s="238"/>
      <c r="BH97" s="238"/>
      <c r="BI97" s="238"/>
      <c r="BJ97" s="238"/>
    </row>
    <row r="98" spans="1:62" s="156" customFormat="1" ht="21" customHeight="1" x14ac:dyDescent="0.2">
      <c r="A98" s="123">
        <v>1</v>
      </c>
      <c r="B98" s="123">
        <v>2</v>
      </c>
      <c r="C98" s="123" t="s">
        <v>40</v>
      </c>
      <c r="D98" s="123" t="s">
        <v>41</v>
      </c>
      <c r="E98" s="123" t="s">
        <v>42</v>
      </c>
      <c r="F98" s="157"/>
      <c r="G98" s="157"/>
      <c r="H98" s="157"/>
      <c r="I98" s="157"/>
      <c r="J98" s="157"/>
      <c r="K98" s="157"/>
      <c r="N98" s="238"/>
      <c r="O98" s="238"/>
      <c r="P98" s="238"/>
      <c r="Q98" s="238"/>
      <c r="R98" s="238"/>
      <c r="S98" s="238"/>
      <c r="T98" s="238"/>
      <c r="U98" s="238"/>
      <c r="V98" s="238"/>
      <c r="W98" s="238"/>
      <c r="X98" s="238"/>
      <c r="Y98" s="238"/>
      <c r="Z98" s="238"/>
      <c r="AA98" s="238"/>
      <c r="AB98" s="238"/>
      <c r="AC98" s="238"/>
      <c r="AD98" s="238"/>
      <c r="AE98" s="238"/>
      <c r="AF98" s="238"/>
      <c r="AG98" s="238"/>
      <c r="AH98" s="238"/>
      <c r="AI98" s="238"/>
      <c r="AJ98" s="238"/>
      <c r="AK98" s="238"/>
      <c r="AL98" s="238"/>
      <c r="AM98" s="238"/>
      <c r="AN98" s="238"/>
      <c r="AO98" s="238"/>
      <c r="AP98" s="238"/>
      <c r="AQ98" s="238"/>
      <c r="AR98" s="238"/>
      <c r="AS98" s="238"/>
      <c r="AT98" s="238"/>
      <c r="AU98" s="238"/>
      <c r="AV98" s="238"/>
      <c r="AW98" s="238"/>
      <c r="AX98" s="238"/>
      <c r="AY98" s="238"/>
      <c r="AZ98" s="238"/>
      <c r="BA98" s="238"/>
      <c r="BB98" s="238"/>
      <c r="BC98" s="238"/>
      <c r="BD98" s="238"/>
      <c r="BE98" s="238"/>
      <c r="BF98" s="238"/>
      <c r="BG98" s="238"/>
      <c r="BH98" s="238"/>
      <c r="BI98" s="238"/>
      <c r="BJ98" s="238"/>
    </row>
    <row r="99" spans="1:62" s="156" customFormat="1" ht="83.25" customHeight="1" x14ac:dyDescent="0.2">
      <c r="A99" s="158" t="s">
        <v>564</v>
      </c>
      <c r="B99" s="18" t="s">
        <v>44</v>
      </c>
      <c r="C99" s="222">
        <v>0</v>
      </c>
      <c r="D99" s="159">
        <v>0</v>
      </c>
      <c r="E99" s="159">
        <v>0</v>
      </c>
      <c r="F99" s="157"/>
      <c r="G99" s="157"/>
      <c r="H99" s="157"/>
      <c r="I99" s="157"/>
      <c r="J99" s="157"/>
      <c r="K99" s="157"/>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238"/>
      <c r="AP99" s="238"/>
      <c r="AQ99" s="238"/>
      <c r="AR99" s="238"/>
      <c r="AS99" s="238"/>
      <c r="AT99" s="238"/>
      <c r="AU99" s="238"/>
      <c r="AV99" s="238"/>
      <c r="AW99" s="238"/>
      <c r="AX99" s="238"/>
      <c r="AY99" s="238"/>
      <c r="AZ99" s="238"/>
      <c r="BA99" s="238"/>
      <c r="BB99" s="238"/>
      <c r="BC99" s="238"/>
      <c r="BD99" s="238"/>
      <c r="BE99" s="238"/>
      <c r="BF99" s="238"/>
      <c r="BG99" s="238"/>
      <c r="BH99" s="238"/>
      <c r="BI99" s="238"/>
      <c r="BJ99" s="238"/>
    </row>
    <row r="100" spans="1:62" s="156" customFormat="1" ht="78.75" customHeight="1" x14ac:dyDescent="0.2">
      <c r="A100" s="18" t="s">
        <v>565</v>
      </c>
      <c r="B100" s="18" t="s">
        <v>46</v>
      </c>
      <c r="C100" s="222">
        <v>943.08</v>
      </c>
      <c r="D100" s="159">
        <v>0</v>
      </c>
      <c r="E100" s="159">
        <v>0</v>
      </c>
      <c r="F100" s="157"/>
      <c r="G100" s="157"/>
      <c r="H100" s="157"/>
      <c r="I100" s="157"/>
      <c r="J100" s="157"/>
      <c r="K100" s="157"/>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238"/>
      <c r="AP100" s="238"/>
      <c r="AQ100" s="238"/>
      <c r="AR100" s="238"/>
      <c r="AS100" s="238"/>
      <c r="AT100" s="238"/>
      <c r="AU100" s="238"/>
      <c r="AV100" s="238"/>
      <c r="AW100" s="238"/>
      <c r="AX100" s="238"/>
      <c r="AY100" s="238"/>
      <c r="AZ100" s="238"/>
      <c r="BA100" s="238"/>
      <c r="BB100" s="238"/>
      <c r="BC100" s="238"/>
      <c r="BD100" s="238"/>
      <c r="BE100" s="238"/>
      <c r="BF100" s="238"/>
      <c r="BG100" s="238"/>
      <c r="BH100" s="238"/>
      <c r="BI100" s="238"/>
      <c r="BJ100" s="238"/>
    </row>
  </sheetData>
  <customSheetViews>
    <customSheetView guid="{DC13F25B-CAA7-4E25-AFF1-0DCF9AD75BDE}" scale="70" showPageBreaks="1" printArea="1" view="pageBreakPreview" topLeftCell="A34">
      <selection activeCell="A42" sqref="A42"/>
      <rowBreaks count="3" manualBreakCount="3">
        <brk id="28" max="12" man="1"/>
        <brk id="52" max="12" man="1"/>
        <brk id="67" max="12" man="1"/>
      </rowBreaks>
      <pageMargins left="0.59055118110236227" right="0.51181102362204722" top="1.1811023622047245" bottom="0.39370078740157483" header="0.19685039370078741" footer="0.19685039370078741"/>
      <printOptions horizontalCentered="1"/>
      <pageSetup paperSize="9" scale="66" firstPageNumber="25" orientation="landscape" useFirstPageNumber="1" r:id="rId1"/>
      <headerFooter alignWithMargins="0"/>
    </customSheetView>
    <customSheetView guid="{6AD2622C-AF85-4997-AA93-A54C85AD6D68}" scale="85" showPageBreaks="1" printArea="1" view="pageBreakPreview">
      <selection activeCell="A2" sqref="A2"/>
      <rowBreaks count="4" manualBreakCount="4">
        <brk id="15" max="12" man="1"/>
        <brk id="28" max="12" man="1"/>
        <brk id="52" max="12" man="1"/>
        <brk id="67" max="12" man="1"/>
      </rowBreaks>
      <pageMargins left="0.59055118110236227" right="0.51181102362204722" top="1.1811023622047245" bottom="0.39370078740157483" header="0.19685039370078741" footer="0.19685039370078741"/>
      <printOptions horizontalCentered="1"/>
      <pageSetup paperSize="9" scale="66" firstPageNumber="25" orientation="landscape" useFirstPageNumber="1" r:id="rId2"/>
      <headerFooter alignWithMargins="0">
        <oddHeader>&amp;C&amp;"Times New Roman,обычный"&amp;12&amp;P</oddHeader>
      </headerFooter>
    </customSheetView>
    <customSheetView guid="{C88A4605-0F8D-4713-9317-AF13632C8FA6}" scale="85" showPageBreaks="1" printArea="1" view="pageBreakPreview">
      <selection activeCell="A2" sqref="A2"/>
      <rowBreaks count="4" manualBreakCount="4">
        <brk id="15" max="12" man="1"/>
        <brk id="28" max="12" man="1"/>
        <brk id="52" max="12" man="1"/>
        <brk id="67" max="12" man="1"/>
      </rowBreaks>
      <pageMargins left="0.59055118110236227" right="0.51181102362204722" top="1.1811023622047245" bottom="0.39370078740157483" header="0.19685039370078741" footer="0.19685039370078741"/>
      <printOptions horizontalCentered="1"/>
      <pageSetup paperSize="9" scale="66" firstPageNumber="25" orientation="landscape" useFirstPageNumber="1" r:id="rId3"/>
      <headerFooter alignWithMargins="0">
        <oddHeader>&amp;C&amp;"Times New Roman,обычный"&amp;12&amp;P</oddHeader>
      </headerFooter>
    </customSheetView>
    <customSheetView guid="{84CC8968-6D7C-41C4-B973-ECD381BB63FC}" scale="70" showPageBreaks="1" printArea="1" view="pageBreakPreview" topLeftCell="A91">
      <selection activeCell="H143" sqref="H143"/>
      <rowBreaks count="3" manualBreakCount="3">
        <brk id="28" max="12" man="1"/>
        <brk id="52" max="12" man="1"/>
        <brk id="67" max="12" man="1"/>
      </rowBreaks>
      <pageMargins left="0.59055118110236227" right="0.51181102362204722" top="1.1811023622047245" bottom="0.39370078740157483" header="0.19685039370078741" footer="0.19685039370078741"/>
      <printOptions horizontalCentered="1"/>
      <pageSetup paperSize="9" scale="66" firstPageNumber="25" orientation="landscape" useFirstPageNumber="1" r:id="rId4"/>
      <headerFooter alignWithMargins="0"/>
    </customSheetView>
    <customSheetView guid="{C47F8591-E97A-4739-B299-8B7B5E22A2DD}" scale="70" showPageBreaks="1" printArea="1" view="pageBreakPreview" topLeftCell="A65">
      <selection activeCell="A42" sqref="A42"/>
      <rowBreaks count="3" manualBreakCount="3">
        <brk id="28" max="12" man="1"/>
        <brk id="52" max="12" man="1"/>
        <brk id="67" max="12" man="1"/>
      </rowBreaks>
      <pageMargins left="0.59055118110236227" right="0.51181102362204722" top="1.1811023622047245" bottom="0.39370078740157483" header="0.19685039370078741" footer="0.19685039370078741"/>
      <printOptions horizontalCentered="1"/>
      <pageSetup paperSize="9" scale="66" firstPageNumber="25" orientation="landscape" useFirstPageNumber="1" r:id="rId5"/>
      <headerFooter alignWithMargins="0"/>
    </customSheetView>
  </customSheetViews>
  <mergeCells count="67">
    <mergeCell ref="A4:I7"/>
    <mergeCell ref="J4:J7"/>
    <mergeCell ref="K4:M4"/>
    <mergeCell ref="A8:I8"/>
    <mergeCell ref="A9:I9"/>
    <mergeCell ref="A10:I10"/>
    <mergeCell ref="A11:I11"/>
    <mergeCell ref="A12:I12"/>
    <mergeCell ref="A13:I13"/>
    <mergeCell ref="A14:I14"/>
    <mergeCell ref="A19:A22"/>
    <mergeCell ref="B19:B22"/>
    <mergeCell ref="C19:C22"/>
    <mergeCell ref="D19:K19"/>
    <mergeCell ref="L19:L22"/>
    <mergeCell ref="D20:D22"/>
    <mergeCell ref="E20:K20"/>
    <mergeCell ref="H21:I21"/>
    <mergeCell ref="J21:K21"/>
    <mergeCell ref="A31:A34"/>
    <mergeCell ref="B31:B34"/>
    <mergeCell ref="C31:C34"/>
    <mergeCell ref="D31:K31"/>
    <mergeCell ref="L31:L34"/>
    <mergeCell ref="D32:D34"/>
    <mergeCell ref="E32:K32"/>
    <mergeCell ref="H33:I33"/>
    <mergeCell ref="J33:K33"/>
    <mergeCell ref="A43:A46"/>
    <mergeCell ref="B43:B46"/>
    <mergeCell ref="C43:C46"/>
    <mergeCell ref="D43:K43"/>
    <mergeCell ref="A69:A71"/>
    <mergeCell ref="A56:A59"/>
    <mergeCell ref="B56:B59"/>
    <mergeCell ref="C56:E56"/>
    <mergeCell ref="B79:B80"/>
    <mergeCell ref="C79:C80"/>
    <mergeCell ref="D79:D80"/>
    <mergeCell ref="L43:L46"/>
    <mergeCell ref="D44:D46"/>
    <mergeCell ref="E44:K44"/>
    <mergeCell ref="H45:I45"/>
    <mergeCell ref="J45:K45"/>
    <mergeCell ref="E79:E80"/>
    <mergeCell ref="F79:F80"/>
    <mergeCell ref="G79:G80"/>
    <mergeCell ref="D74:D75"/>
    <mergeCell ref="E74:E75"/>
    <mergeCell ref="F74:F75"/>
    <mergeCell ref="G74:G75"/>
    <mergeCell ref="A94:A97"/>
    <mergeCell ref="B94:B97"/>
    <mergeCell ref="C94:E94"/>
    <mergeCell ref="A1:M1"/>
    <mergeCell ref="A89:M89"/>
    <mergeCell ref="H86:H87"/>
    <mergeCell ref="B86:B87"/>
    <mergeCell ref="C86:C87"/>
    <mergeCell ref="D86:D87"/>
    <mergeCell ref="E86:E87"/>
    <mergeCell ref="H79:H80"/>
    <mergeCell ref="B74:B75"/>
    <mergeCell ref="C74:C75"/>
    <mergeCell ref="F86:F87"/>
    <mergeCell ref="G86:G87"/>
    <mergeCell ref="H74:H75"/>
  </mergeCells>
  <printOptions horizontalCentered="1"/>
  <pageMargins left="0.59055118110236227" right="0.51181102362204722" top="1.1811023622047245" bottom="0.39370078740157483" header="0.19685039370078741" footer="0.19685039370078741"/>
  <pageSetup paperSize="9" scale="66" firstPageNumber="25" orientation="landscape" useFirstPageNumber="1" r:id="rId6"/>
  <headerFooter alignWithMargins="0"/>
  <rowBreaks count="3" manualBreakCount="3">
    <brk id="28" max="12" man="1"/>
    <brk id="52" max="12" man="1"/>
    <brk id="67" max="12" man="1"/>
  </rowBreaks>
  <legacy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BJ100"/>
  <sheetViews>
    <sheetView view="pageBreakPreview" topLeftCell="A64" zoomScale="70" zoomScaleNormal="120" zoomScaleSheetLayoutView="70" workbookViewId="0">
      <selection activeCell="I64" sqref="I64:K68"/>
    </sheetView>
  </sheetViews>
  <sheetFormatPr defaultColWidth="0.85546875" defaultRowHeight="12.75" x14ac:dyDescent="0.2"/>
  <cols>
    <col min="1" max="1" width="40.7109375" style="6" customWidth="1"/>
    <col min="2" max="2" width="13.5703125" style="6" customWidth="1"/>
    <col min="3" max="3" width="23.140625" style="6" customWidth="1"/>
    <col min="4" max="4" width="16.85546875" style="6" customWidth="1"/>
    <col min="5" max="5" width="19.140625" style="6" customWidth="1"/>
    <col min="6" max="6" width="17.28515625" style="6" customWidth="1"/>
    <col min="7" max="7" width="18.85546875" style="6" customWidth="1"/>
    <col min="8" max="8" width="19.28515625" style="6" customWidth="1"/>
    <col min="9" max="13" width="13.5703125" style="6" customWidth="1"/>
    <col min="14" max="62" width="22.140625" style="15" customWidth="1"/>
    <col min="63" max="16384" width="0.85546875" style="6"/>
  </cols>
  <sheetData>
    <row r="1" spans="1:48" ht="18.75" customHeight="1" x14ac:dyDescent="0.25">
      <c r="A1" s="645" t="s">
        <v>33</v>
      </c>
      <c r="B1" s="645"/>
      <c r="C1" s="645"/>
      <c r="D1" s="645"/>
      <c r="E1" s="645"/>
      <c r="F1" s="645"/>
      <c r="G1" s="645"/>
      <c r="H1" s="645"/>
      <c r="I1" s="645"/>
      <c r="J1" s="645"/>
      <c r="K1" s="645"/>
      <c r="L1" s="645"/>
      <c r="M1" s="645"/>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row>
    <row r="2" spans="1:48" ht="18.75" customHeight="1" x14ac:dyDescent="0.2">
      <c r="A2" s="5" t="s">
        <v>34</v>
      </c>
      <c r="B2" s="5"/>
      <c r="C2" s="5"/>
      <c r="D2" s="5"/>
      <c r="E2" s="5"/>
      <c r="F2" s="5"/>
      <c r="G2" s="5"/>
      <c r="H2" s="5"/>
      <c r="I2" s="5"/>
      <c r="J2" s="5"/>
      <c r="K2" s="5"/>
      <c r="L2" s="5"/>
      <c r="M2" s="5"/>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row>
    <row r="3" spans="1:48" ht="41.45" customHeight="1" x14ac:dyDescent="0.2">
      <c r="A3" s="7" t="s">
        <v>35</v>
      </c>
      <c r="B3" s="7"/>
      <c r="C3" s="7"/>
      <c r="D3" s="7"/>
      <c r="E3" s="7"/>
      <c r="F3" s="7"/>
      <c r="G3" s="7"/>
      <c r="H3" s="7"/>
      <c r="I3" s="7"/>
      <c r="J3" s="7"/>
      <c r="K3" s="7"/>
      <c r="L3" s="7"/>
      <c r="M3" s="7"/>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6"/>
      <c r="AR3" s="236"/>
      <c r="AS3" s="236"/>
      <c r="AT3" s="236"/>
      <c r="AU3" s="236"/>
      <c r="AV3" s="236"/>
    </row>
    <row r="4" spans="1:48" ht="12.75" customHeight="1" x14ac:dyDescent="0.2">
      <c r="A4" s="453" t="s">
        <v>36</v>
      </c>
      <c r="B4" s="453" t="s">
        <v>2</v>
      </c>
      <c r="C4" s="453" t="s">
        <v>21</v>
      </c>
      <c r="D4" s="453"/>
      <c r="E4" s="453"/>
      <c r="F4" s="9"/>
      <c r="G4" s="9"/>
      <c r="H4" s="9"/>
      <c r="I4" s="9"/>
      <c r="J4" s="9"/>
      <c r="K4" s="9"/>
    </row>
    <row r="5" spans="1:48" x14ac:dyDescent="0.2">
      <c r="A5" s="453"/>
      <c r="B5" s="453"/>
      <c r="C5" s="272" t="s">
        <v>477</v>
      </c>
      <c r="D5" s="272" t="s">
        <v>552</v>
      </c>
      <c r="E5" s="272" t="s">
        <v>579</v>
      </c>
      <c r="F5" s="9"/>
      <c r="G5" s="9"/>
      <c r="H5" s="9"/>
      <c r="I5" s="9"/>
      <c r="J5" s="9"/>
      <c r="K5" s="9"/>
    </row>
    <row r="6" spans="1:48" ht="12.75" customHeight="1" x14ac:dyDescent="0.2">
      <c r="A6" s="453"/>
      <c r="B6" s="453"/>
      <c r="C6" s="453" t="s">
        <v>37</v>
      </c>
      <c r="D6" s="453" t="s">
        <v>38</v>
      </c>
      <c r="E6" s="453" t="s">
        <v>39</v>
      </c>
      <c r="F6" s="9"/>
      <c r="G6" s="9"/>
      <c r="H6" s="9"/>
      <c r="I6" s="9"/>
      <c r="J6" s="9"/>
      <c r="K6" s="9"/>
    </row>
    <row r="7" spans="1:48" x14ac:dyDescent="0.2">
      <c r="A7" s="453"/>
      <c r="B7" s="453"/>
      <c r="C7" s="453"/>
      <c r="D7" s="453"/>
      <c r="E7" s="453"/>
      <c r="F7" s="9"/>
      <c r="G7" s="9"/>
      <c r="H7" s="9"/>
      <c r="I7" s="9"/>
      <c r="J7" s="9"/>
      <c r="K7" s="9"/>
    </row>
    <row r="8" spans="1:48" x14ac:dyDescent="0.2">
      <c r="A8" s="8">
        <v>1</v>
      </c>
      <c r="B8" s="8">
        <v>2</v>
      </c>
      <c r="C8" s="8" t="s">
        <v>40</v>
      </c>
      <c r="D8" s="8" t="s">
        <v>41</v>
      </c>
      <c r="E8" s="8" t="s">
        <v>42</v>
      </c>
      <c r="F8" s="9"/>
      <c r="G8" s="9"/>
      <c r="H8" s="9"/>
      <c r="I8" s="9"/>
      <c r="J8" s="9"/>
      <c r="K8" s="9"/>
    </row>
    <row r="9" spans="1:48" ht="27" customHeight="1" x14ac:dyDescent="0.2">
      <c r="A9" s="10" t="s">
        <v>43</v>
      </c>
      <c r="B9" s="10" t="s">
        <v>44</v>
      </c>
      <c r="C9" s="10"/>
      <c r="D9" s="10"/>
      <c r="E9" s="10"/>
      <c r="F9" s="9"/>
      <c r="G9" s="9"/>
      <c r="H9" s="9"/>
      <c r="I9" s="9"/>
      <c r="J9" s="9"/>
      <c r="K9" s="9"/>
    </row>
    <row r="10" spans="1:48" ht="26.45" customHeight="1" x14ac:dyDescent="0.2">
      <c r="A10" s="10" t="s">
        <v>45</v>
      </c>
      <c r="B10" s="10" t="s">
        <v>46</v>
      </c>
      <c r="C10" s="10"/>
      <c r="D10" s="10"/>
      <c r="E10" s="10"/>
      <c r="F10" s="9"/>
      <c r="G10" s="9"/>
      <c r="H10" s="9"/>
      <c r="I10" s="9"/>
      <c r="J10" s="9"/>
      <c r="K10" s="9"/>
    </row>
    <row r="11" spans="1:48" ht="12.75" customHeight="1" x14ac:dyDescent="0.2">
      <c r="A11" s="10" t="s">
        <v>47</v>
      </c>
      <c r="B11" s="10" t="s">
        <v>48</v>
      </c>
      <c r="C11" s="16">
        <f>L27</f>
        <v>16093139.050000001</v>
      </c>
      <c r="D11" s="16">
        <f>L39</f>
        <v>15790903.68</v>
      </c>
      <c r="E11" s="16">
        <f>L51</f>
        <v>15828303.68</v>
      </c>
      <c r="F11" s="9"/>
      <c r="G11" s="9"/>
      <c r="H11" s="9"/>
      <c r="I11" s="9"/>
      <c r="J11" s="9"/>
      <c r="K11" s="9"/>
    </row>
    <row r="12" spans="1:48" ht="25.15" customHeight="1" x14ac:dyDescent="0.2">
      <c r="A12" s="10" t="s">
        <v>49</v>
      </c>
      <c r="B12" s="10" t="s">
        <v>50</v>
      </c>
      <c r="C12" s="10"/>
      <c r="D12" s="10"/>
      <c r="E12" s="10"/>
      <c r="F12" s="9"/>
      <c r="G12" s="9"/>
      <c r="H12" s="9"/>
      <c r="I12" s="9"/>
      <c r="J12" s="9"/>
      <c r="K12" s="9"/>
    </row>
    <row r="13" spans="1:48" ht="25.9" customHeight="1" x14ac:dyDescent="0.2">
      <c r="A13" s="10" t="s">
        <v>51</v>
      </c>
      <c r="B13" s="10" t="s">
        <v>52</v>
      </c>
      <c r="C13" s="10"/>
      <c r="D13" s="10"/>
      <c r="E13" s="10"/>
      <c r="F13" s="9"/>
      <c r="G13" s="9"/>
      <c r="H13" s="9"/>
      <c r="I13" s="9"/>
      <c r="J13" s="9"/>
      <c r="K13" s="9"/>
    </row>
    <row r="14" spans="1:48" ht="27.6" customHeight="1" x14ac:dyDescent="0.2">
      <c r="A14" s="10" t="s">
        <v>53</v>
      </c>
      <c r="B14" s="10" t="s">
        <v>54</v>
      </c>
      <c r="C14" s="10">
        <f>C9-C10+C11-C12+C13</f>
        <v>16093139.050000001</v>
      </c>
      <c r="D14" s="10">
        <f>D9-D10+D11-D12+D13</f>
        <v>15790903.68</v>
      </c>
      <c r="E14" s="10">
        <f>E9-E10+E11-E12+E13</f>
        <v>15828303.68</v>
      </c>
      <c r="F14" s="9"/>
      <c r="G14" s="9"/>
      <c r="H14" s="9"/>
      <c r="I14" s="9"/>
      <c r="J14" s="9"/>
      <c r="K14" s="9"/>
    </row>
    <row r="15" spans="1:48" ht="18.75" customHeight="1" x14ac:dyDescent="0.2">
      <c r="A15" s="9"/>
      <c r="B15" s="9"/>
      <c r="C15" s="9"/>
      <c r="D15" s="9"/>
      <c r="E15" s="9"/>
      <c r="F15" s="9"/>
      <c r="G15" s="9"/>
      <c r="H15" s="9"/>
      <c r="I15" s="9"/>
      <c r="J15" s="9"/>
      <c r="K15" s="9"/>
      <c r="L15" s="9"/>
      <c r="M15" s="9"/>
      <c r="N15" s="21"/>
      <c r="O15" s="21"/>
      <c r="P15" s="21"/>
      <c r="Q15" s="21"/>
      <c r="R15" s="21"/>
      <c r="S15" s="21"/>
      <c r="T15" s="21"/>
      <c r="U15" s="21"/>
      <c r="V15" s="21"/>
      <c r="W15" s="21"/>
      <c r="X15" s="21"/>
      <c r="Y15" s="21"/>
      <c r="Z15" s="21"/>
      <c r="AA15" s="21"/>
      <c r="AB15" s="21"/>
      <c r="AC15" s="21"/>
      <c r="AD15" s="21"/>
      <c r="AE15" s="21"/>
      <c r="AF15" s="21"/>
      <c r="AG15" s="21"/>
    </row>
    <row r="16" spans="1:48" x14ac:dyDescent="0.2">
      <c r="A16" s="5" t="s">
        <v>55</v>
      </c>
      <c r="B16" s="5"/>
      <c r="C16" s="5"/>
      <c r="D16" s="5"/>
      <c r="E16" s="5"/>
      <c r="F16" s="5"/>
      <c r="G16" s="5"/>
      <c r="H16" s="5"/>
      <c r="I16" s="5"/>
      <c r="J16" s="5"/>
      <c r="K16" s="5"/>
      <c r="L16" s="5"/>
      <c r="M16" s="5"/>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row>
    <row r="17" spans="1:62" ht="31.9" customHeight="1" x14ac:dyDescent="0.2">
      <c r="A17" s="5" t="s">
        <v>589</v>
      </c>
      <c r="B17" s="5"/>
      <c r="C17" s="5"/>
      <c r="D17" s="5"/>
      <c r="E17" s="5"/>
      <c r="F17" s="5"/>
      <c r="G17" s="5"/>
      <c r="H17" s="5"/>
      <c r="I17" s="5"/>
      <c r="J17" s="5"/>
      <c r="K17" s="5"/>
      <c r="L17" s="5"/>
      <c r="M17" s="5"/>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row>
    <row r="19" spans="1:62" ht="16.899999999999999" customHeight="1" x14ac:dyDescent="0.2">
      <c r="A19" s="453" t="s">
        <v>56</v>
      </c>
      <c r="B19" s="453" t="s">
        <v>2</v>
      </c>
      <c r="C19" s="453" t="s">
        <v>57</v>
      </c>
      <c r="D19" s="651" t="s">
        <v>58</v>
      </c>
      <c r="E19" s="652"/>
      <c r="F19" s="652"/>
      <c r="G19" s="652"/>
      <c r="H19" s="652"/>
      <c r="I19" s="652"/>
      <c r="J19" s="652"/>
      <c r="K19" s="653"/>
      <c r="L19" s="453" t="s">
        <v>59</v>
      </c>
    </row>
    <row r="20" spans="1:62" ht="16.899999999999999" customHeight="1" x14ac:dyDescent="0.2">
      <c r="A20" s="453"/>
      <c r="B20" s="453"/>
      <c r="C20" s="453"/>
      <c r="D20" s="453" t="s">
        <v>60</v>
      </c>
      <c r="E20" s="651" t="s">
        <v>61</v>
      </c>
      <c r="F20" s="652"/>
      <c r="G20" s="652"/>
      <c r="H20" s="652"/>
      <c r="I20" s="652"/>
      <c r="J20" s="652"/>
      <c r="K20" s="653"/>
      <c r="L20" s="453"/>
    </row>
    <row r="21" spans="1:62" ht="31.9" customHeight="1" x14ac:dyDescent="0.2">
      <c r="A21" s="453"/>
      <c r="B21" s="453"/>
      <c r="C21" s="453"/>
      <c r="D21" s="453"/>
      <c r="E21" s="453" t="s">
        <v>62</v>
      </c>
      <c r="F21" s="453" t="s">
        <v>63</v>
      </c>
      <c r="G21" s="453" t="s">
        <v>64</v>
      </c>
      <c r="H21" s="454" t="s">
        <v>65</v>
      </c>
      <c r="I21" s="454"/>
      <c r="J21" s="454" t="s">
        <v>66</v>
      </c>
      <c r="K21" s="454"/>
      <c r="L21" s="453"/>
    </row>
    <row r="22" spans="1:62" ht="69" customHeight="1" x14ac:dyDescent="0.2">
      <c r="A22" s="453"/>
      <c r="B22" s="453"/>
      <c r="C22" s="453"/>
      <c r="D22" s="453"/>
      <c r="E22" s="453"/>
      <c r="F22" s="453"/>
      <c r="G22" s="453"/>
      <c r="H22" s="12" t="s">
        <v>67</v>
      </c>
      <c r="I22" s="8" t="s">
        <v>68</v>
      </c>
      <c r="J22" s="12" t="s">
        <v>67</v>
      </c>
      <c r="K22" s="10" t="s">
        <v>69</v>
      </c>
      <c r="L22" s="453"/>
    </row>
    <row r="23" spans="1:62" s="13" customFormat="1" x14ac:dyDescent="0.2">
      <c r="A23" s="11">
        <v>1</v>
      </c>
      <c r="B23" s="11">
        <v>2</v>
      </c>
      <c r="C23" s="11">
        <v>3</v>
      </c>
      <c r="D23" s="11">
        <v>4</v>
      </c>
      <c r="E23" s="11">
        <v>5</v>
      </c>
      <c r="F23" s="11">
        <v>6</v>
      </c>
      <c r="G23" s="11">
        <v>7</v>
      </c>
      <c r="H23" s="11">
        <v>8</v>
      </c>
      <c r="I23" s="11">
        <v>9</v>
      </c>
      <c r="J23" s="11">
        <v>10</v>
      </c>
      <c r="K23" s="11">
        <v>11</v>
      </c>
      <c r="L23" s="11">
        <v>12</v>
      </c>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39"/>
      <c r="AQ23" s="239"/>
      <c r="AR23" s="239"/>
      <c r="AS23" s="239"/>
      <c r="AT23" s="239"/>
      <c r="AU23" s="239"/>
      <c r="AV23" s="239"/>
      <c r="AW23" s="239"/>
      <c r="AX23" s="239"/>
      <c r="AY23" s="239"/>
      <c r="AZ23" s="239"/>
      <c r="BA23" s="239"/>
      <c r="BB23" s="239"/>
      <c r="BC23" s="239"/>
      <c r="BD23" s="239"/>
      <c r="BE23" s="239"/>
      <c r="BF23" s="239"/>
      <c r="BG23" s="239"/>
      <c r="BH23" s="239"/>
      <c r="BI23" s="239"/>
      <c r="BJ23" s="239"/>
    </row>
    <row r="24" spans="1:62" ht="25.5" customHeight="1" x14ac:dyDescent="0.2">
      <c r="A24" s="12" t="s">
        <v>70</v>
      </c>
      <c r="B24" s="12" t="s">
        <v>10</v>
      </c>
      <c r="C24" s="232">
        <v>44.860000000000007</v>
      </c>
      <c r="D24" s="231">
        <f>ROUND(E24+F24+G24+I24+K24,2)</f>
        <v>29895.119999999999</v>
      </c>
      <c r="E24" s="231">
        <v>10025.739634418189</v>
      </c>
      <c r="F24" s="232">
        <v>346.60878288007126</v>
      </c>
      <c r="G24" s="231">
        <v>8312.0993205714021</v>
      </c>
      <c r="H24" s="234">
        <v>30</v>
      </c>
      <c r="I24" s="231">
        <f>(E24+F24+G24)*H24/100</f>
        <v>5605.3343213608978</v>
      </c>
      <c r="J24" s="234">
        <v>30</v>
      </c>
      <c r="K24" s="231">
        <f>(E24+F24+G24)*J24/100</f>
        <v>5605.3343213608978</v>
      </c>
      <c r="L24" s="231">
        <f>ROUND(C24*D24*12,0)-1.95</f>
        <v>16093139.050000001</v>
      </c>
    </row>
    <row r="25" spans="1:62" x14ac:dyDescent="0.2">
      <c r="A25" s="12"/>
      <c r="B25" s="12" t="s">
        <v>11</v>
      </c>
      <c r="C25" s="231"/>
      <c r="D25" s="231">
        <f>ROUND(E25+F25+G25+I25+K25,2)</f>
        <v>0</v>
      </c>
      <c r="E25" s="231"/>
      <c r="F25" s="231"/>
      <c r="G25" s="231"/>
      <c r="H25" s="234"/>
      <c r="I25" s="231">
        <f t="shared" ref="I25:I26" si="0">(E25+F25+G25)*H25/100</f>
        <v>0</v>
      </c>
      <c r="J25" s="234"/>
      <c r="K25" s="231">
        <f t="shared" ref="K25:K26" si="1">(E25+F25+G25)*J25/100</f>
        <v>0</v>
      </c>
      <c r="L25" s="231">
        <f>C25*D25*12</f>
        <v>0</v>
      </c>
    </row>
    <row r="26" spans="1:62" x14ac:dyDescent="0.2">
      <c r="A26" s="12"/>
      <c r="B26" s="12"/>
      <c r="C26" s="231"/>
      <c r="D26" s="231">
        <f>ROUND(E26+F26+G26+I26+K26,2)</f>
        <v>0</v>
      </c>
      <c r="E26" s="231"/>
      <c r="F26" s="231"/>
      <c r="G26" s="231"/>
      <c r="H26" s="234"/>
      <c r="I26" s="231">
        <f t="shared" si="0"/>
        <v>0</v>
      </c>
      <c r="J26" s="234"/>
      <c r="K26" s="231">
        <f t="shared" si="1"/>
        <v>0</v>
      </c>
      <c r="L26" s="231">
        <f>C26*D26*12</f>
        <v>0</v>
      </c>
    </row>
    <row r="27" spans="1:62" x14ac:dyDescent="0.2">
      <c r="A27" s="14" t="s">
        <v>71</v>
      </c>
      <c r="B27" s="14" t="s">
        <v>72</v>
      </c>
      <c r="C27" s="231" t="s">
        <v>14</v>
      </c>
      <c r="D27" s="231">
        <f>SUM(D24:D26)</f>
        <v>29895.119999999999</v>
      </c>
      <c r="E27" s="231">
        <f>SUM(E24:E26)</f>
        <v>10025.739634418189</v>
      </c>
      <c r="F27" s="231">
        <f>SUM(F24:F26)</f>
        <v>346.60878288007126</v>
      </c>
      <c r="G27" s="231">
        <f>SUM(G24:G26)</f>
        <v>8312.0993205714021</v>
      </c>
      <c r="H27" s="231"/>
      <c r="I27" s="231">
        <f>SUM(I24:I26)</f>
        <v>5605.3343213608978</v>
      </c>
      <c r="J27" s="231"/>
      <c r="K27" s="231">
        <f>SUM(K24:K26)</f>
        <v>5605.3343213608978</v>
      </c>
      <c r="L27" s="231">
        <f>SUM(L24:L26)</f>
        <v>16093139.050000001</v>
      </c>
      <c r="M27" s="221">
        <v>16093139.049999999</v>
      </c>
      <c r="N27" s="15">
        <f>M27-L27</f>
        <v>0</v>
      </c>
      <c r="O27" s="15">
        <f>N27/12/1.6/C24</f>
        <v>0</v>
      </c>
    </row>
    <row r="29" spans="1:62" ht="29.45" customHeight="1" x14ac:dyDescent="0.2">
      <c r="A29" s="227" t="s">
        <v>588</v>
      </c>
    </row>
    <row r="30" spans="1:62" ht="13.9" customHeight="1" x14ac:dyDescent="0.2"/>
    <row r="31" spans="1:62" ht="12.75" customHeight="1" x14ac:dyDescent="0.2">
      <c r="A31" s="453" t="s">
        <v>56</v>
      </c>
      <c r="B31" s="453" t="s">
        <v>2</v>
      </c>
      <c r="C31" s="453" t="s">
        <v>57</v>
      </c>
      <c r="D31" s="453" t="s">
        <v>58</v>
      </c>
      <c r="E31" s="453"/>
      <c r="F31" s="453"/>
      <c r="G31" s="453"/>
      <c r="H31" s="453"/>
      <c r="I31" s="453"/>
      <c r="J31" s="453"/>
      <c r="K31" s="453"/>
      <c r="L31" s="453" t="s">
        <v>73</v>
      </c>
    </row>
    <row r="32" spans="1:62" ht="12.75" customHeight="1" x14ac:dyDescent="0.2">
      <c r="A32" s="453"/>
      <c r="B32" s="453"/>
      <c r="C32" s="453"/>
      <c r="D32" s="453" t="s">
        <v>74</v>
      </c>
      <c r="E32" s="453" t="s">
        <v>61</v>
      </c>
      <c r="F32" s="453"/>
      <c r="G32" s="453"/>
      <c r="H32" s="453"/>
      <c r="I32" s="453"/>
      <c r="J32" s="453"/>
      <c r="K32" s="453"/>
      <c r="L32" s="453"/>
    </row>
    <row r="33" spans="1:15" ht="27" customHeight="1" x14ac:dyDescent="0.2">
      <c r="A33" s="453"/>
      <c r="B33" s="453"/>
      <c r="C33" s="453"/>
      <c r="D33" s="453"/>
      <c r="E33" s="453" t="s">
        <v>75</v>
      </c>
      <c r="F33" s="453" t="s">
        <v>63</v>
      </c>
      <c r="G33" s="453" t="s">
        <v>64</v>
      </c>
      <c r="H33" s="453" t="s">
        <v>65</v>
      </c>
      <c r="I33" s="453"/>
      <c r="J33" s="453" t="s">
        <v>66</v>
      </c>
      <c r="K33" s="453"/>
      <c r="L33" s="453"/>
    </row>
    <row r="34" spans="1:15" ht="67.900000000000006" customHeight="1" x14ac:dyDescent="0.2">
      <c r="A34" s="453"/>
      <c r="B34" s="453"/>
      <c r="C34" s="453"/>
      <c r="D34" s="453"/>
      <c r="E34" s="453"/>
      <c r="F34" s="453"/>
      <c r="G34" s="453"/>
      <c r="H34" s="10" t="s">
        <v>67</v>
      </c>
      <c r="I34" s="10" t="s">
        <v>76</v>
      </c>
      <c r="J34" s="10" t="s">
        <v>67</v>
      </c>
      <c r="K34" s="10" t="s">
        <v>77</v>
      </c>
      <c r="L34" s="453"/>
    </row>
    <row r="35" spans="1:15" x14ac:dyDescent="0.2">
      <c r="A35" s="122">
        <v>1</v>
      </c>
      <c r="B35" s="122">
        <v>2</v>
      </c>
      <c r="C35" s="122">
        <v>3</v>
      </c>
      <c r="D35" s="122">
        <v>4</v>
      </c>
      <c r="E35" s="122">
        <v>5</v>
      </c>
      <c r="F35" s="122">
        <v>6</v>
      </c>
      <c r="G35" s="122">
        <v>7</v>
      </c>
      <c r="H35" s="122">
        <v>8</v>
      </c>
      <c r="I35" s="122">
        <v>9</v>
      </c>
      <c r="J35" s="122">
        <v>10</v>
      </c>
      <c r="K35" s="122">
        <v>11</v>
      </c>
      <c r="L35" s="122">
        <v>12</v>
      </c>
    </row>
    <row r="36" spans="1:15" ht="25.5" customHeight="1" x14ac:dyDescent="0.2">
      <c r="A36" s="10" t="s">
        <v>70</v>
      </c>
      <c r="B36" s="10" t="s">
        <v>10</v>
      </c>
      <c r="C36" s="232">
        <v>44.860000000000007</v>
      </c>
      <c r="D36" s="231">
        <f>ROUND(E36+F36+G36+I36+K36,2)</f>
        <v>29333.67</v>
      </c>
      <c r="E36" s="231">
        <v>10025.739634418189</v>
      </c>
      <c r="F36" s="232">
        <v>346.60878288007126</v>
      </c>
      <c r="G36" s="231">
        <v>7961.1981720909471</v>
      </c>
      <c r="H36" s="234">
        <v>30</v>
      </c>
      <c r="I36" s="231">
        <f>(E36+F36+G36)*H36/100</f>
        <v>5500.0639768167621</v>
      </c>
      <c r="J36" s="234">
        <v>30</v>
      </c>
      <c r="K36" s="231">
        <f>(E36+F36+G36)*J36/100</f>
        <v>5500.0639768167621</v>
      </c>
      <c r="L36" s="231">
        <f>ROUND(C36*D36*12,0)+2.68</f>
        <v>15790903.68</v>
      </c>
    </row>
    <row r="37" spans="1:15" x14ac:dyDescent="0.2">
      <c r="A37" s="10"/>
      <c r="B37" s="10" t="s">
        <v>11</v>
      </c>
      <c r="C37" s="231"/>
      <c r="D37" s="231">
        <f>ROUND(E37+F37+G37+I37+K37,2)</f>
        <v>0</v>
      </c>
      <c r="E37" s="231"/>
      <c r="F37" s="231"/>
      <c r="G37" s="231"/>
      <c r="H37" s="234"/>
      <c r="I37" s="231">
        <f t="shared" ref="I37:I38" si="2">(E37+F37+G37)*H37/100</f>
        <v>0</v>
      </c>
      <c r="J37" s="234"/>
      <c r="K37" s="231">
        <f t="shared" ref="K37:K38" si="3">(E37+F37+G37)*J37/100</f>
        <v>0</v>
      </c>
      <c r="L37" s="231">
        <f>C37*D37*12</f>
        <v>0</v>
      </c>
    </row>
    <row r="38" spans="1:15" x14ac:dyDescent="0.2">
      <c r="A38" s="10"/>
      <c r="B38" s="10"/>
      <c r="C38" s="231"/>
      <c r="D38" s="231">
        <f>ROUND(E38+F38+G38+I38+K38,2)</f>
        <v>0</v>
      </c>
      <c r="E38" s="231"/>
      <c r="F38" s="231"/>
      <c r="G38" s="231"/>
      <c r="H38" s="234"/>
      <c r="I38" s="231">
        <f t="shared" si="2"/>
        <v>0</v>
      </c>
      <c r="J38" s="234"/>
      <c r="K38" s="231">
        <f t="shared" si="3"/>
        <v>0</v>
      </c>
      <c r="L38" s="231">
        <f>C38*D38*12</f>
        <v>0</v>
      </c>
    </row>
    <row r="39" spans="1:15" x14ac:dyDescent="0.2">
      <c r="A39" s="16" t="s">
        <v>71</v>
      </c>
      <c r="B39" s="16" t="s">
        <v>72</v>
      </c>
      <c r="C39" s="231" t="s">
        <v>14</v>
      </c>
      <c r="D39" s="231">
        <f>SUM(D36:D38)</f>
        <v>29333.67</v>
      </c>
      <c r="E39" s="231">
        <f>SUM(E36:E38)</f>
        <v>10025.739634418189</v>
      </c>
      <c r="F39" s="231">
        <f>SUM(F36:F38)</f>
        <v>346.60878288007126</v>
      </c>
      <c r="G39" s="231">
        <f>SUM(G36:G38)</f>
        <v>7961.1981720909471</v>
      </c>
      <c r="H39" s="231"/>
      <c r="I39" s="231">
        <f>SUM(I36:I38)</f>
        <v>5500.0639768167621</v>
      </c>
      <c r="J39" s="231"/>
      <c r="K39" s="231">
        <f>SUM(K36:K38)</f>
        <v>5500.0639768167621</v>
      </c>
      <c r="L39" s="231">
        <f>SUM(L36:L38)</f>
        <v>15790903.68</v>
      </c>
      <c r="M39" s="15">
        <v>15790903.68</v>
      </c>
      <c r="N39" s="15">
        <f>M39-L39</f>
        <v>0</v>
      </c>
      <c r="O39" s="15">
        <f>N39/12/1.6/C36</f>
        <v>0</v>
      </c>
    </row>
    <row r="40" spans="1:15" ht="6" customHeight="1" x14ac:dyDescent="0.2"/>
    <row r="41" spans="1:15" ht="42" customHeight="1" x14ac:dyDescent="0.2">
      <c r="A41" s="227" t="s">
        <v>587</v>
      </c>
    </row>
    <row r="42" spans="1:15" ht="9.6" customHeight="1" x14ac:dyDescent="0.2"/>
    <row r="43" spans="1:15" ht="12.75" customHeight="1" x14ac:dyDescent="0.2">
      <c r="A43" s="625" t="s">
        <v>56</v>
      </c>
      <c r="B43" s="625" t="s">
        <v>2</v>
      </c>
      <c r="C43" s="625" t="s">
        <v>57</v>
      </c>
      <c r="D43" s="17" t="s">
        <v>58</v>
      </c>
      <c r="E43" s="17"/>
      <c r="F43" s="17"/>
      <c r="G43" s="17"/>
      <c r="H43" s="17"/>
      <c r="I43" s="17"/>
      <c r="J43" s="17"/>
      <c r="K43" s="17"/>
      <c r="L43" s="625" t="s">
        <v>78</v>
      </c>
    </row>
    <row r="44" spans="1:15" ht="12.75" customHeight="1" x14ac:dyDescent="0.2">
      <c r="A44" s="625"/>
      <c r="B44" s="625"/>
      <c r="C44" s="625"/>
      <c r="D44" s="625" t="s">
        <v>74</v>
      </c>
      <c r="E44" s="17" t="s">
        <v>61</v>
      </c>
      <c r="F44" s="17"/>
      <c r="G44" s="17"/>
      <c r="H44" s="17"/>
      <c r="I44" s="17"/>
      <c r="J44" s="17"/>
      <c r="K44" s="17"/>
      <c r="L44" s="625"/>
    </row>
    <row r="45" spans="1:15" ht="27.6" customHeight="1" x14ac:dyDescent="0.2">
      <c r="A45" s="625"/>
      <c r="B45" s="625"/>
      <c r="C45" s="625"/>
      <c r="D45" s="625"/>
      <c r="E45" s="625" t="s">
        <v>79</v>
      </c>
      <c r="F45" s="625" t="s">
        <v>63</v>
      </c>
      <c r="G45" s="625" t="s">
        <v>64</v>
      </c>
      <c r="H45" s="625" t="s">
        <v>65</v>
      </c>
      <c r="I45" s="625"/>
      <c r="J45" s="625" t="s">
        <v>66</v>
      </c>
      <c r="K45" s="625"/>
      <c r="L45" s="625"/>
    </row>
    <row r="46" spans="1:15" ht="67.900000000000006" customHeight="1" x14ac:dyDescent="0.2">
      <c r="A46" s="625"/>
      <c r="B46" s="625"/>
      <c r="C46" s="625"/>
      <c r="D46" s="625"/>
      <c r="E46" s="625"/>
      <c r="F46" s="625"/>
      <c r="G46" s="625"/>
      <c r="H46" s="17" t="s">
        <v>67</v>
      </c>
      <c r="I46" s="17" t="s">
        <v>80</v>
      </c>
      <c r="J46" s="17" t="s">
        <v>67</v>
      </c>
      <c r="K46" s="17" t="s">
        <v>81</v>
      </c>
      <c r="L46" s="625"/>
    </row>
    <row r="47" spans="1:15" x14ac:dyDescent="0.2">
      <c r="A47" s="17">
        <v>1</v>
      </c>
      <c r="B47" s="17">
        <v>2</v>
      </c>
      <c r="C47" s="17">
        <v>3</v>
      </c>
      <c r="D47" s="17">
        <v>4</v>
      </c>
      <c r="E47" s="17">
        <v>5</v>
      </c>
      <c r="F47" s="17">
        <v>6</v>
      </c>
      <c r="G47" s="17">
        <v>7</v>
      </c>
      <c r="H47" s="17">
        <v>8</v>
      </c>
      <c r="I47" s="17">
        <v>9</v>
      </c>
      <c r="J47" s="17">
        <v>10</v>
      </c>
      <c r="K47" s="17">
        <v>11</v>
      </c>
      <c r="L47" s="17">
        <v>12</v>
      </c>
    </row>
    <row r="48" spans="1:15" ht="31.5" customHeight="1" x14ac:dyDescent="0.2">
      <c r="A48" s="17" t="s">
        <v>70</v>
      </c>
      <c r="B48" s="18" t="s">
        <v>10</v>
      </c>
      <c r="C48" s="232">
        <v>44.860000000000007</v>
      </c>
      <c r="D48" s="231">
        <f>ROUND(E48+F48+G48+I48+K48,2)</f>
        <v>29403.15</v>
      </c>
      <c r="E48" s="231">
        <v>10025.739634418189</v>
      </c>
      <c r="F48" s="232">
        <v>346.60878288007126</v>
      </c>
      <c r="G48" s="231">
        <v>8004.6203001931908</v>
      </c>
      <c r="H48" s="234">
        <v>30</v>
      </c>
      <c r="I48" s="231">
        <f>(E48+F48+G48)*H48/100</f>
        <v>5513.0906152474354</v>
      </c>
      <c r="J48" s="234">
        <v>30</v>
      </c>
      <c r="K48" s="231">
        <f>(E48+F48+G48)*J48/100</f>
        <v>5513.0906152474354</v>
      </c>
      <c r="L48" s="231">
        <f>ROUND(C48*D48*12,0)-0.32</f>
        <v>15828303.68</v>
      </c>
    </row>
    <row r="49" spans="1:48" x14ac:dyDescent="0.2">
      <c r="A49" s="17"/>
      <c r="B49" s="18" t="s">
        <v>11</v>
      </c>
      <c r="C49" s="231"/>
      <c r="D49" s="231">
        <f>ROUND(E49+F49+G49+I49+K49,2)</f>
        <v>0</v>
      </c>
      <c r="E49" s="231"/>
      <c r="F49" s="231"/>
      <c r="G49" s="231"/>
      <c r="H49" s="234"/>
      <c r="I49" s="231">
        <f t="shared" ref="I49:I50" si="4">(E49+F49+G49)*H49/100</f>
        <v>0</v>
      </c>
      <c r="J49" s="234"/>
      <c r="K49" s="231">
        <f t="shared" ref="K49:K50" si="5">(E49+F49+G49)*J49/100</f>
        <v>0</v>
      </c>
      <c r="L49" s="231">
        <f>C49*D49*12</f>
        <v>0</v>
      </c>
    </row>
    <row r="50" spans="1:48" x14ac:dyDescent="0.2">
      <c r="A50" s="17"/>
      <c r="B50" s="18"/>
      <c r="C50" s="231"/>
      <c r="D50" s="231">
        <f>ROUND(E50+F50+G50+I50+K50,2)</f>
        <v>0</v>
      </c>
      <c r="E50" s="231"/>
      <c r="F50" s="231"/>
      <c r="G50" s="231"/>
      <c r="H50" s="234"/>
      <c r="I50" s="231">
        <f t="shared" si="4"/>
        <v>0</v>
      </c>
      <c r="J50" s="234"/>
      <c r="K50" s="231">
        <f t="shared" si="5"/>
        <v>0</v>
      </c>
      <c r="L50" s="231">
        <f>C50*D50*12</f>
        <v>0</v>
      </c>
    </row>
    <row r="51" spans="1:48" x14ac:dyDescent="0.2">
      <c r="A51" s="19" t="s">
        <v>71</v>
      </c>
      <c r="B51" s="20" t="s">
        <v>72</v>
      </c>
      <c r="C51" s="231" t="s">
        <v>14</v>
      </c>
      <c r="D51" s="231">
        <f>SUM(D48:D50)</f>
        <v>29403.15</v>
      </c>
      <c r="E51" s="231">
        <f>SUM(E48:E50)</f>
        <v>10025.739634418189</v>
      </c>
      <c r="F51" s="231">
        <f>SUM(F48:F50)</f>
        <v>346.60878288007126</v>
      </c>
      <c r="G51" s="231">
        <f>SUM(G48:G50)</f>
        <v>8004.6203001931908</v>
      </c>
      <c r="H51" s="231"/>
      <c r="I51" s="231">
        <f>SUM(I48:I50)</f>
        <v>5513.0906152474354</v>
      </c>
      <c r="J51" s="231"/>
      <c r="K51" s="231">
        <f>SUM(K48:K50)</f>
        <v>5513.0906152474354</v>
      </c>
      <c r="L51" s="231">
        <f>SUM(L48:L50)</f>
        <v>15828303.68</v>
      </c>
      <c r="M51" s="15">
        <v>15828303.68</v>
      </c>
      <c r="N51" s="15">
        <f>M51-L51</f>
        <v>0</v>
      </c>
      <c r="O51" s="15">
        <f>N51/12/1.6/C48</f>
        <v>0</v>
      </c>
    </row>
    <row r="53" spans="1:48" ht="23.25" customHeight="1" x14ac:dyDescent="0.2">
      <c r="A53" s="5" t="s">
        <v>82</v>
      </c>
      <c r="B53" s="5"/>
      <c r="C53" s="5"/>
      <c r="D53" s="5"/>
      <c r="E53" s="5"/>
      <c r="F53" s="5"/>
      <c r="G53" s="5"/>
      <c r="H53" s="5"/>
      <c r="I53" s="5"/>
      <c r="J53" s="5"/>
      <c r="K53" s="5"/>
      <c r="L53" s="5"/>
      <c r="M53" s="5"/>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row>
    <row r="54" spans="1:48" ht="31.9" customHeight="1" x14ac:dyDescent="0.2">
      <c r="A54" s="5" t="s">
        <v>83</v>
      </c>
      <c r="B54" s="5"/>
      <c r="C54" s="5"/>
      <c r="D54" s="5"/>
      <c r="E54" s="5"/>
      <c r="F54" s="5"/>
      <c r="G54" s="5"/>
      <c r="H54" s="5"/>
      <c r="I54" s="5"/>
      <c r="J54" s="5"/>
      <c r="K54" s="5"/>
      <c r="L54" s="5"/>
      <c r="M54" s="5"/>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row>
    <row r="55" spans="1:48" ht="13.5" customHeight="1" x14ac:dyDescent="0.2"/>
    <row r="56" spans="1:48" ht="12.75" customHeight="1" x14ac:dyDescent="0.2">
      <c r="A56" s="453" t="s">
        <v>36</v>
      </c>
      <c r="B56" s="453" t="s">
        <v>2</v>
      </c>
      <c r="C56" s="453" t="s">
        <v>21</v>
      </c>
      <c r="D56" s="453"/>
      <c r="E56" s="453"/>
      <c r="F56" s="9"/>
      <c r="G56" s="9"/>
      <c r="H56" s="9"/>
      <c r="I56" s="9"/>
      <c r="J56" s="9"/>
      <c r="K56" s="9"/>
    </row>
    <row r="57" spans="1:48" ht="12" customHeight="1" x14ac:dyDescent="0.2">
      <c r="A57" s="453"/>
      <c r="B57" s="453"/>
      <c r="C57" s="272" t="s">
        <v>477</v>
      </c>
      <c r="D57" s="272" t="s">
        <v>552</v>
      </c>
      <c r="E57" s="272" t="s">
        <v>579</v>
      </c>
      <c r="F57" s="9"/>
      <c r="G57" s="9"/>
      <c r="H57" s="9"/>
      <c r="I57" s="9"/>
      <c r="J57" s="9"/>
      <c r="K57" s="9"/>
    </row>
    <row r="58" spans="1:48" ht="10.15" customHeight="1" x14ac:dyDescent="0.2">
      <c r="A58" s="453"/>
      <c r="B58" s="453"/>
      <c r="C58" s="453" t="s">
        <v>37</v>
      </c>
      <c r="D58" s="453" t="s">
        <v>38</v>
      </c>
      <c r="E58" s="453" t="s">
        <v>39</v>
      </c>
      <c r="F58" s="9"/>
      <c r="G58" s="9"/>
      <c r="H58" s="9"/>
      <c r="I58" s="9"/>
      <c r="J58" s="9"/>
      <c r="K58" s="9"/>
    </row>
    <row r="59" spans="1:48" ht="18.600000000000001" customHeight="1" x14ac:dyDescent="0.2">
      <c r="A59" s="453"/>
      <c r="B59" s="453"/>
      <c r="C59" s="453"/>
      <c r="D59" s="453"/>
      <c r="E59" s="453"/>
      <c r="F59" s="9"/>
      <c r="G59" s="9"/>
      <c r="H59" s="9"/>
      <c r="I59" s="9"/>
      <c r="J59" s="9"/>
      <c r="K59" s="9"/>
    </row>
    <row r="60" spans="1:48" ht="20.25" customHeight="1" x14ac:dyDescent="0.2">
      <c r="A60" s="122">
        <v>1</v>
      </c>
      <c r="B60" s="122">
        <v>2</v>
      </c>
      <c r="C60" s="122" t="s">
        <v>40</v>
      </c>
      <c r="D60" s="122" t="s">
        <v>41</v>
      </c>
      <c r="E60" s="122" t="s">
        <v>42</v>
      </c>
      <c r="F60" s="9"/>
      <c r="G60" s="9"/>
      <c r="H60" s="9"/>
      <c r="I60" s="9"/>
      <c r="J60" s="9"/>
      <c r="K60" s="9"/>
    </row>
    <row r="61" spans="1:48" ht="12.75" customHeight="1" x14ac:dyDescent="0.2">
      <c r="A61" s="10" t="s">
        <v>84</v>
      </c>
      <c r="B61" s="10" t="s">
        <v>44</v>
      </c>
      <c r="C61" s="10"/>
      <c r="D61" s="10"/>
      <c r="E61" s="10"/>
      <c r="F61" s="9"/>
      <c r="G61" s="9"/>
      <c r="H61" s="9"/>
      <c r="I61" s="9"/>
      <c r="J61" s="9"/>
      <c r="K61" s="9"/>
    </row>
    <row r="62" spans="1:48" ht="38.25" x14ac:dyDescent="0.2">
      <c r="A62" s="10" t="s">
        <v>85</v>
      </c>
      <c r="B62" s="10" t="s">
        <v>46</v>
      </c>
      <c r="C62" s="10"/>
      <c r="D62" s="10"/>
      <c r="E62" s="10"/>
      <c r="F62" s="9"/>
      <c r="G62" s="9"/>
      <c r="H62" s="9"/>
      <c r="I62" s="9"/>
      <c r="J62" s="9"/>
      <c r="K62" s="9"/>
    </row>
    <row r="63" spans="1:48" ht="25.5" x14ac:dyDescent="0.2">
      <c r="A63" s="10" t="s">
        <v>86</v>
      </c>
      <c r="B63" s="10" t="s">
        <v>48</v>
      </c>
      <c r="C63" s="16">
        <f>F88</f>
        <v>4860137.93</v>
      </c>
      <c r="D63" s="16">
        <f>G88</f>
        <v>4768855.2300000004</v>
      </c>
      <c r="E63" s="16">
        <f>H88</f>
        <v>4780155.2300000004</v>
      </c>
      <c r="F63" s="9"/>
      <c r="G63" s="9"/>
      <c r="H63" s="9"/>
      <c r="I63" s="9"/>
      <c r="J63" s="9"/>
      <c r="K63" s="9"/>
    </row>
    <row r="64" spans="1:48" ht="25.5" x14ac:dyDescent="0.2">
      <c r="A64" s="10" t="s">
        <v>87</v>
      </c>
      <c r="B64" s="10" t="s">
        <v>50</v>
      </c>
      <c r="C64" s="10"/>
      <c r="D64" s="10"/>
      <c r="E64" s="10"/>
      <c r="F64" s="9"/>
      <c r="G64" s="9"/>
      <c r="H64" s="9"/>
      <c r="I64" s="9"/>
      <c r="J64" s="9"/>
      <c r="K64" s="9"/>
    </row>
    <row r="65" spans="1:46" ht="38.25" x14ac:dyDescent="0.2">
      <c r="A65" s="10" t="s">
        <v>88</v>
      </c>
      <c r="B65" s="10" t="s">
        <v>52</v>
      </c>
      <c r="C65" s="10"/>
      <c r="D65" s="10"/>
      <c r="E65" s="10"/>
      <c r="F65" s="9"/>
      <c r="G65" s="9"/>
      <c r="H65" s="9"/>
      <c r="I65" s="9"/>
      <c r="J65" s="9"/>
      <c r="K65" s="9"/>
    </row>
    <row r="66" spans="1:46" ht="38.25" x14ac:dyDescent="0.2">
      <c r="A66" s="10" t="s">
        <v>89</v>
      </c>
      <c r="B66" s="10" t="s">
        <v>54</v>
      </c>
      <c r="C66" s="10">
        <f>C61-C62+C63-C64+C65</f>
        <v>4860137.93</v>
      </c>
      <c r="D66" s="10">
        <f>D61-D62+D63-D64+D65</f>
        <v>4768855.2300000004</v>
      </c>
      <c r="E66" s="10">
        <f>E61-E62+E63-E64+E65</f>
        <v>4780155.2300000004</v>
      </c>
      <c r="F66" s="9"/>
      <c r="G66" s="9"/>
      <c r="H66" s="9"/>
      <c r="I66" s="9"/>
      <c r="J66" s="9"/>
      <c r="K66" s="9"/>
    </row>
    <row r="67" spans="1:46" ht="22.5" customHeight="1" x14ac:dyDescent="0.2"/>
    <row r="68" spans="1:46" ht="20.25" customHeight="1" x14ac:dyDescent="0.2">
      <c r="A68" s="5" t="s">
        <v>90</v>
      </c>
      <c r="B68" s="5"/>
      <c r="C68" s="5"/>
      <c r="D68" s="5"/>
      <c r="E68" s="5"/>
      <c r="F68" s="5"/>
      <c r="G68" s="5"/>
      <c r="H68" s="5"/>
      <c r="I68" s="5"/>
      <c r="J68" s="5"/>
      <c r="K68" s="5"/>
      <c r="L68" s="5"/>
      <c r="M68" s="5"/>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row>
    <row r="69" spans="1:46" ht="25.5" customHeight="1" x14ac:dyDescent="0.2">
      <c r="A69" s="10" t="s">
        <v>91</v>
      </c>
      <c r="B69" s="10" t="s">
        <v>2</v>
      </c>
      <c r="C69" s="453" t="s">
        <v>92</v>
      </c>
      <c r="D69" s="453"/>
      <c r="E69" s="453"/>
      <c r="F69" s="453" t="s">
        <v>93</v>
      </c>
      <c r="G69" s="453"/>
      <c r="H69" s="453"/>
    </row>
    <row r="70" spans="1:46" x14ac:dyDescent="0.2">
      <c r="A70" s="10"/>
      <c r="B70" s="10"/>
      <c r="C70" s="272" t="s">
        <v>477</v>
      </c>
      <c r="D70" s="272" t="s">
        <v>552</v>
      </c>
      <c r="E70" s="272" t="s">
        <v>579</v>
      </c>
      <c r="F70" s="272" t="s">
        <v>477</v>
      </c>
      <c r="G70" s="272" t="s">
        <v>552</v>
      </c>
      <c r="H70" s="272" t="s">
        <v>579</v>
      </c>
    </row>
    <row r="71" spans="1:46" ht="38.25" customHeight="1" x14ac:dyDescent="0.2">
      <c r="A71" s="10"/>
      <c r="B71" s="10"/>
      <c r="C71" s="10" t="s">
        <v>3</v>
      </c>
      <c r="D71" s="10" t="s">
        <v>4</v>
      </c>
      <c r="E71" s="10" t="s">
        <v>5</v>
      </c>
      <c r="F71" s="10" t="s">
        <v>3</v>
      </c>
      <c r="G71" s="10" t="s">
        <v>4</v>
      </c>
      <c r="H71" s="10" t="s">
        <v>5</v>
      </c>
    </row>
    <row r="72" spans="1:46" x14ac:dyDescent="0.2">
      <c r="A72" s="122">
        <v>1</v>
      </c>
      <c r="B72" s="122">
        <v>2</v>
      </c>
      <c r="C72" s="122">
        <v>3</v>
      </c>
      <c r="D72" s="122">
        <v>4</v>
      </c>
      <c r="E72" s="122">
        <v>5</v>
      </c>
      <c r="F72" s="122">
        <v>6</v>
      </c>
      <c r="G72" s="122">
        <v>7</v>
      </c>
      <c r="H72" s="122">
        <v>8</v>
      </c>
    </row>
    <row r="73" spans="1:46" ht="25.5" x14ac:dyDescent="0.2">
      <c r="A73" s="10" t="s">
        <v>95</v>
      </c>
      <c r="B73" s="230" t="s">
        <v>44</v>
      </c>
      <c r="C73" s="230"/>
      <c r="D73" s="230"/>
      <c r="E73" s="230"/>
      <c r="F73" s="16"/>
      <c r="G73" s="16"/>
      <c r="H73" s="16"/>
    </row>
    <row r="74" spans="1:46" x14ac:dyDescent="0.2">
      <c r="A74" s="10" t="s">
        <v>61</v>
      </c>
      <c r="B74" s="649" t="s">
        <v>96</v>
      </c>
      <c r="C74" s="647">
        <f>$L$27</f>
        <v>16093139.050000001</v>
      </c>
      <c r="D74" s="647">
        <f>$L$39</f>
        <v>15790903.68</v>
      </c>
      <c r="E74" s="647">
        <f>$L$51</f>
        <v>15828303.68</v>
      </c>
      <c r="F74" s="647">
        <f>ROUND(C74*22%,0)+9.93</f>
        <v>3540500.93</v>
      </c>
      <c r="G74" s="647">
        <f>ROUND(D74*22%,0)+2.23</f>
        <v>3474001.23</v>
      </c>
      <c r="H74" s="647">
        <f>ROUND(E74*22%,0)+7.23</f>
        <v>3482234.23</v>
      </c>
    </row>
    <row r="75" spans="1:46" x14ac:dyDescent="0.2">
      <c r="A75" s="10" t="s">
        <v>97</v>
      </c>
      <c r="B75" s="650"/>
      <c r="C75" s="648"/>
      <c r="D75" s="648"/>
      <c r="E75" s="648"/>
      <c r="F75" s="648"/>
      <c r="G75" s="648"/>
      <c r="H75" s="648"/>
    </row>
    <row r="76" spans="1:46" x14ac:dyDescent="0.2">
      <c r="A76" s="10" t="s">
        <v>98</v>
      </c>
      <c r="B76" s="230" t="s">
        <v>99</v>
      </c>
      <c r="C76" s="16"/>
      <c r="D76" s="16"/>
      <c r="E76" s="16"/>
      <c r="F76" s="16"/>
      <c r="G76" s="16"/>
      <c r="H76" s="16"/>
    </row>
    <row r="77" spans="1:46" ht="38.25" x14ac:dyDescent="0.2">
      <c r="A77" s="10" t="s">
        <v>100</v>
      </c>
      <c r="B77" s="230" t="s">
        <v>101</v>
      </c>
      <c r="C77" s="16"/>
      <c r="D77" s="16"/>
      <c r="E77" s="16"/>
      <c r="F77" s="16"/>
      <c r="G77" s="16"/>
      <c r="H77" s="16"/>
    </row>
    <row r="78" spans="1:46" ht="38.25" x14ac:dyDescent="0.2">
      <c r="A78" s="10" t="s">
        <v>102</v>
      </c>
      <c r="B78" s="230" t="s">
        <v>46</v>
      </c>
      <c r="C78" s="16"/>
      <c r="D78" s="16"/>
      <c r="E78" s="16"/>
      <c r="F78" s="16"/>
      <c r="G78" s="16"/>
      <c r="H78" s="16"/>
    </row>
    <row r="79" spans="1:46" ht="13.15" customHeight="1" x14ac:dyDescent="0.2">
      <c r="A79" s="10" t="s">
        <v>61</v>
      </c>
      <c r="B79" s="649" t="s">
        <v>103</v>
      </c>
      <c r="C79" s="647">
        <f>C74</f>
        <v>16093139.050000001</v>
      </c>
      <c r="D79" s="647">
        <f>D74</f>
        <v>15790903.68</v>
      </c>
      <c r="E79" s="647">
        <f>E74</f>
        <v>15828303.68</v>
      </c>
      <c r="F79" s="647">
        <f>ROUND(C79*2.9%,0)</f>
        <v>466701</v>
      </c>
      <c r="G79" s="647">
        <f>ROUND(D79*2.9%,0)</f>
        <v>457936</v>
      </c>
      <c r="H79" s="647">
        <f>ROUND(E79*2.9%,0)</f>
        <v>459021</v>
      </c>
    </row>
    <row r="80" spans="1:46" ht="38.25" x14ac:dyDescent="0.2">
      <c r="A80" s="10" t="s">
        <v>104</v>
      </c>
      <c r="B80" s="650"/>
      <c r="C80" s="648"/>
      <c r="D80" s="648"/>
      <c r="E80" s="648"/>
      <c r="F80" s="648"/>
      <c r="G80" s="648"/>
      <c r="H80" s="648"/>
    </row>
    <row r="81" spans="1:62" ht="38.25" x14ac:dyDescent="0.2">
      <c r="A81" s="10" t="s">
        <v>105</v>
      </c>
      <c r="B81" s="230" t="s">
        <v>106</v>
      </c>
      <c r="C81" s="16"/>
      <c r="D81" s="16"/>
      <c r="E81" s="16"/>
      <c r="F81" s="16"/>
      <c r="G81" s="16"/>
      <c r="H81" s="16"/>
    </row>
    <row r="82" spans="1:62" ht="26.25" customHeight="1" x14ac:dyDescent="0.2">
      <c r="A82" s="10" t="s">
        <v>107</v>
      </c>
      <c r="B82" s="230" t="s">
        <v>108</v>
      </c>
      <c r="C82" s="16">
        <f>C74</f>
        <v>16093139.050000001</v>
      </c>
      <c r="D82" s="16">
        <f>D74</f>
        <v>15790903.68</v>
      </c>
      <c r="E82" s="16">
        <f>E74</f>
        <v>15828303.68</v>
      </c>
      <c r="F82" s="16">
        <f>ROUND(C82*0.2%,0)</f>
        <v>32186</v>
      </c>
      <c r="G82" s="16">
        <f t="shared" ref="G82:H82" si="6">ROUND(D82*0.2%,0)</f>
        <v>31582</v>
      </c>
      <c r="H82" s="16">
        <f t="shared" si="6"/>
        <v>31657</v>
      </c>
    </row>
    <row r="83" spans="1:62" ht="26.25" customHeight="1" x14ac:dyDescent="0.2">
      <c r="A83" s="10" t="s">
        <v>109</v>
      </c>
      <c r="B83" s="230" t="s">
        <v>110</v>
      </c>
      <c r="C83" s="16"/>
      <c r="D83" s="16"/>
      <c r="E83" s="16"/>
      <c r="F83" s="16"/>
      <c r="G83" s="16"/>
      <c r="H83" s="16"/>
    </row>
    <row r="84" spans="1:62" ht="37.5" customHeight="1" x14ac:dyDescent="0.2">
      <c r="A84" s="10" t="s">
        <v>111</v>
      </c>
      <c r="B84" s="230"/>
      <c r="C84" s="16"/>
      <c r="D84" s="16"/>
      <c r="E84" s="16"/>
      <c r="F84" s="16"/>
      <c r="G84" s="16"/>
      <c r="H84" s="16"/>
    </row>
    <row r="85" spans="1:62" ht="26.25" customHeight="1" x14ac:dyDescent="0.2">
      <c r="A85" s="10" t="s">
        <v>112</v>
      </c>
      <c r="B85" s="230" t="s">
        <v>48</v>
      </c>
      <c r="C85" s="16"/>
      <c r="D85" s="16"/>
      <c r="E85" s="16"/>
      <c r="F85" s="16"/>
      <c r="G85" s="16"/>
      <c r="H85" s="16"/>
    </row>
    <row r="86" spans="1:62" ht="12.75" customHeight="1" x14ac:dyDescent="0.2">
      <c r="A86" s="10" t="s">
        <v>61</v>
      </c>
      <c r="B86" s="649" t="s">
        <v>113</v>
      </c>
      <c r="C86" s="647">
        <f>C74</f>
        <v>16093139.050000001</v>
      </c>
      <c r="D86" s="647">
        <f>D74</f>
        <v>15790903.68</v>
      </c>
      <c r="E86" s="647">
        <f>E74</f>
        <v>15828303.68</v>
      </c>
      <c r="F86" s="647">
        <f>ROUND(C86*5.1%,0)</f>
        <v>820750</v>
      </c>
      <c r="G86" s="647">
        <f t="shared" ref="G86:H86" si="7">ROUND(D86*5.1%,0)</f>
        <v>805336</v>
      </c>
      <c r="H86" s="647">
        <f t="shared" si="7"/>
        <v>807243</v>
      </c>
    </row>
    <row r="87" spans="1:62" ht="24.75" customHeight="1" x14ac:dyDescent="0.2">
      <c r="A87" s="10" t="s">
        <v>114</v>
      </c>
      <c r="B87" s="650"/>
      <c r="C87" s="648"/>
      <c r="D87" s="648"/>
      <c r="E87" s="648"/>
      <c r="F87" s="648"/>
      <c r="G87" s="648"/>
      <c r="H87" s="648"/>
    </row>
    <row r="88" spans="1:62" x14ac:dyDescent="0.2">
      <c r="A88" s="16" t="s">
        <v>71</v>
      </c>
      <c r="B88" s="16" t="s">
        <v>72</v>
      </c>
      <c r="C88" s="16" t="s">
        <v>14</v>
      </c>
      <c r="D88" s="16" t="s">
        <v>14</v>
      </c>
      <c r="E88" s="16" t="s">
        <v>14</v>
      </c>
      <c r="F88" s="16">
        <f>SUM(F73:F87)</f>
        <v>4860137.93</v>
      </c>
      <c r="G88" s="16">
        <f>SUM(G73:G87)</f>
        <v>4768855.2300000004</v>
      </c>
      <c r="H88" s="16">
        <f>SUM(H73:H87)</f>
        <v>4780155.2300000004</v>
      </c>
      <c r="I88" s="15"/>
      <c r="J88" s="15"/>
      <c r="M88" s="221">
        <v>4860137.93</v>
      </c>
      <c r="N88" s="15">
        <f>M88-F88</f>
        <v>0</v>
      </c>
      <c r="O88" s="15">
        <v>4768855.2300000004</v>
      </c>
      <c r="P88" s="15">
        <f>O88-G88</f>
        <v>0</v>
      </c>
      <c r="Q88" s="15">
        <v>4780155.2300000004</v>
      </c>
      <c r="R88" s="15">
        <f>Q88-H88</f>
        <v>0</v>
      </c>
    </row>
    <row r="89" spans="1:62" ht="35.25" customHeight="1" x14ac:dyDescent="0.2">
      <c r="A89" s="646" t="s">
        <v>115</v>
      </c>
      <c r="B89" s="646"/>
      <c r="C89" s="646"/>
      <c r="D89" s="646"/>
      <c r="E89" s="646"/>
      <c r="F89" s="646"/>
      <c r="G89" s="646"/>
      <c r="H89" s="646"/>
      <c r="I89" s="646"/>
      <c r="J89" s="646"/>
      <c r="K89" s="646"/>
      <c r="L89" s="646"/>
    </row>
    <row r="91" spans="1:62" s="156" customFormat="1" ht="23.25" customHeight="1" x14ac:dyDescent="0.2">
      <c r="A91" s="78" t="s">
        <v>562</v>
      </c>
      <c r="B91" s="78"/>
      <c r="C91" s="78"/>
      <c r="D91" s="78"/>
      <c r="E91" s="78"/>
      <c r="F91" s="78"/>
      <c r="G91" s="78"/>
      <c r="H91" s="78"/>
      <c r="I91" s="78"/>
      <c r="J91" s="78"/>
      <c r="K91" s="78"/>
      <c r="L91" s="78"/>
      <c r="M91" s="78"/>
      <c r="N91" s="237"/>
      <c r="O91" s="237"/>
      <c r="P91" s="237"/>
      <c r="Q91" s="237"/>
      <c r="R91" s="237"/>
      <c r="S91" s="237"/>
      <c r="T91" s="237"/>
      <c r="U91" s="237"/>
      <c r="V91" s="237"/>
      <c r="W91" s="237"/>
      <c r="X91" s="237"/>
      <c r="Y91" s="237"/>
      <c r="Z91" s="237"/>
      <c r="AA91" s="237"/>
      <c r="AB91" s="238"/>
      <c r="AC91" s="238"/>
      <c r="AD91" s="238"/>
      <c r="AE91" s="238"/>
      <c r="AF91" s="238"/>
      <c r="AG91" s="238"/>
      <c r="AH91" s="238"/>
      <c r="AI91" s="238"/>
      <c r="AJ91" s="238"/>
      <c r="AK91" s="238"/>
      <c r="AL91" s="238"/>
      <c r="AM91" s="238"/>
      <c r="AN91" s="238"/>
      <c r="AO91" s="238"/>
      <c r="AP91" s="238"/>
      <c r="AQ91" s="238"/>
      <c r="AR91" s="238"/>
      <c r="AS91" s="238"/>
      <c r="AT91" s="238"/>
      <c r="AU91" s="238"/>
      <c r="AV91" s="238"/>
      <c r="AW91" s="238"/>
      <c r="AX91" s="238"/>
      <c r="AY91" s="238"/>
      <c r="AZ91" s="238"/>
      <c r="BA91" s="238"/>
      <c r="BB91" s="238"/>
      <c r="BC91" s="238"/>
      <c r="BD91" s="238"/>
      <c r="BE91" s="238"/>
      <c r="BF91" s="238"/>
      <c r="BG91" s="238"/>
      <c r="BH91" s="238"/>
      <c r="BI91" s="238"/>
      <c r="BJ91" s="238"/>
    </row>
    <row r="92" spans="1:62" s="156" customFormat="1" ht="31.9" customHeight="1" x14ac:dyDescent="0.2">
      <c r="A92" s="78" t="s">
        <v>563</v>
      </c>
      <c r="B92" s="78"/>
      <c r="C92" s="78"/>
      <c r="D92" s="78"/>
      <c r="E92" s="78"/>
      <c r="F92" s="78"/>
      <c r="G92" s="78"/>
      <c r="H92" s="78"/>
      <c r="I92" s="78"/>
      <c r="J92" s="78"/>
      <c r="K92" s="78"/>
      <c r="L92" s="78"/>
      <c r="M92" s="78"/>
      <c r="N92" s="237"/>
      <c r="O92" s="237"/>
      <c r="P92" s="237"/>
      <c r="Q92" s="237"/>
      <c r="R92" s="237"/>
      <c r="S92" s="237"/>
      <c r="T92" s="237"/>
      <c r="U92" s="237"/>
      <c r="V92" s="237"/>
      <c r="W92" s="237"/>
      <c r="X92" s="237"/>
      <c r="Y92" s="237"/>
      <c r="Z92" s="237"/>
      <c r="AA92" s="237"/>
      <c r="AB92" s="238"/>
      <c r="AC92" s="238"/>
      <c r="AD92" s="238"/>
      <c r="AE92" s="238"/>
      <c r="AF92" s="238"/>
      <c r="AG92" s="238"/>
      <c r="AH92" s="238"/>
      <c r="AI92" s="238"/>
      <c r="AJ92" s="238"/>
      <c r="AK92" s="238"/>
      <c r="AL92" s="238"/>
      <c r="AM92" s="238"/>
      <c r="AN92" s="238"/>
      <c r="AO92" s="238"/>
      <c r="AP92" s="238"/>
      <c r="AQ92" s="238"/>
      <c r="AR92" s="238"/>
      <c r="AS92" s="238"/>
      <c r="AT92" s="238"/>
      <c r="AU92" s="238"/>
      <c r="AV92" s="238"/>
      <c r="AW92" s="238"/>
      <c r="AX92" s="238"/>
      <c r="AY92" s="238"/>
      <c r="AZ92" s="238"/>
      <c r="BA92" s="238"/>
      <c r="BB92" s="238"/>
      <c r="BC92" s="238"/>
      <c r="BD92" s="238"/>
      <c r="BE92" s="238"/>
      <c r="BF92" s="238"/>
      <c r="BG92" s="238"/>
      <c r="BH92" s="238"/>
      <c r="BI92" s="238"/>
      <c r="BJ92" s="238"/>
    </row>
    <row r="93" spans="1:62" s="156" customFormat="1" ht="13.5" customHeight="1" x14ac:dyDescent="0.2">
      <c r="N93" s="238"/>
      <c r="O93" s="238"/>
      <c r="P93" s="238"/>
      <c r="Q93" s="238"/>
      <c r="R93" s="238"/>
      <c r="S93" s="238"/>
      <c r="T93" s="238"/>
      <c r="U93" s="238"/>
      <c r="V93" s="238"/>
      <c r="W93" s="238"/>
      <c r="X93" s="238"/>
      <c r="Y93" s="238"/>
      <c r="Z93" s="238"/>
      <c r="AA93" s="238"/>
      <c r="AB93" s="238"/>
      <c r="AC93" s="238"/>
      <c r="AD93" s="238"/>
      <c r="AE93" s="238"/>
      <c r="AF93" s="238"/>
      <c r="AG93" s="238"/>
      <c r="AH93" s="238"/>
      <c r="AI93" s="238"/>
      <c r="AJ93" s="238"/>
      <c r="AK93" s="238"/>
      <c r="AL93" s="238"/>
      <c r="AM93" s="238"/>
      <c r="AN93" s="238"/>
      <c r="AO93" s="238"/>
      <c r="AP93" s="238"/>
      <c r="AQ93" s="238"/>
      <c r="AR93" s="238"/>
      <c r="AS93" s="238"/>
      <c r="AT93" s="238"/>
      <c r="AU93" s="238"/>
      <c r="AV93" s="238"/>
      <c r="AW93" s="238"/>
      <c r="AX93" s="238"/>
      <c r="AY93" s="238"/>
      <c r="AZ93" s="238"/>
      <c r="BA93" s="238"/>
      <c r="BB93" s="238"/>
      <c r="BC93" s="238"/>
      <c r="BD93" s="238"/>
      <c r="BE93" s="238"/>
      <c r="BF93" s="238"/>
      <c r="BG93" s="238"/>
      <c r="BH93" s="238"/>
      <c r="BI93" s="238"/>
      <c r="BJ93" s="238"/>
    </row>
    <row r="94" spans="1:62" s="156" customFormat="1" ht="13.5" customHeight="1" x14ac:dyDescent="0.2">
      <c r="A94" s="625" t="s">
        <v>36</v>
      </c>
      <c r="B94" s="625" t="s">
        <v>2</v>
      </c>
      <c r="C94" s="625" t="s">
        <v>21</v>
      </c>
      <c r="D94" s="625"/>
      <c r="E94" s="625"/>
      <c r="F94" s="157"/>
      <c r="G94" s="157"/>
      <c r="H94" s="157"/>
      <c r="I94" s="157"/>
      <c r="J94" s="157"/>
      <c r="K94" s="157"/>
      <c r="N94" s="238"/>
      <c r="O94" s="238"/>
      <c r="P94" s="238"/>
      <c r="Q94" s="238"/>
      <c r="R94" s="238"/>
      <c r="S94" s="238"/>
      <c r="T94" s="238"/>
      <c r="U94" s="238"/>
      <c r="V94" s="238"/>
      <c r="W94" s="238"/>
      <c r="X94" s="238"/>
      <c r="Y94" s="238"/>
      <c r="Z94" s="238"/>
      <c r="AA94" s="238"/>
      <c r="AB94" s="238"/>
      <c r="AC94" s="238"/>
      <c r="AD94" s="238"/>
      <c r="AE94" s="238"/>
      <c r="AF94" s="238"/>
      <c r="AG94" s="238"/>
      <c r="AH94" s="238"/>
      <c r="AI94" s="238"/>
      <c r="AJ94" s="238"/>
      <c r="AK94" s="238"/>
      <c r="AL94" s="238"/>
      <c r="AM94" s="238"/>
      <c r="AN94" s="238"/>
      <c r="AO94" s="238"/>
      <c r="AP94" s="238"/>
      <c r="AQ94" s="238"/>
      <c r="AR94" s="238"/>
      <c r="AS94" s="238"/>
      <c r="AT94" s="238"/>
      <c r="AU94" s="238"/>
      <c r="AV94" s="238"/>
      <c r="AW94" s="238"/>
      <c r="AX94" s="238"/>
      <c r="AY94" s="238"/>
      <c r="AZ94" s="238"/>
      <c r="BA94" s="238"/>
      <c r="BB94" s="238"/>
      <c r="BC94" s="238"/>
      <c r="BD94" s="238"/>
      <c r="BE94" s="238"/>
      <c r="BF94" s="238"/>
      <c r="BG94" s="238"/>
      <c r="BH94" s="238"/>
      <c r="BI94" s="238"/>
      <c r="BJ94" s="238"/>
    </row>
    <row r="95" spans="1:62" s="156" customFormat="1" ht="12" customHeight="1" x14ac:dyDescent="0.2">
      <c r="A95" s="625"/>
      <c r="B95" s="625"/>
      <c r="C95" s="272" t="s">
        <v>477</v>
      </c>
      <c r="D95" s="272" t="s">
        <v>552</v>
      </c>
      <c r="E95" s="272" t="s">
        <v>579</v>
      </c>
      <c r="F95" s="157"/>
      <c r="G95" s="157"/>
      <c r="H95" s="157"/>
      <c r="I95" s="157"/>
      <c r="J95" s="157"/>
      <c r="K95" s="157"/>
      <c r="N95" s="238"/>
      <c r="O95" s="238"/>
      <c r="P95" s="238"/>
      <c r="Q95" s="238"/>
      <c r="R95" s="238"/>
      <c r="S95" s="238"/>
      <c r="T95" s="238"/>
      <c r="U95" s="238"/>
      <c r="V95" s="238"/>
      <c r="W95" s="238"/>
      <c r="X95" s="238"/>
      <c r="Y95" s="238"/>
      <c r="Z95" s="238"/>
      <c r="AA95" s="238"/>
      <c r="AB95" s="238"/>
      <c r="AC95" s="238"/>
      <c r="AD95" s="238"/>
      <c r="AE95" s="238"/>
      <c r="AF95" s="238"/>
      <c r="AG95" s="238"/>
      <c r="AH95" s="238"/>
      <c r="AI95" s="238"/>
      <c r="AJ95" s="238"/>
      <c r="AK95" s="238"/>
      <c r="AL95" s="238"/>
      <c r="AM95" s="238"/>
      <c r="AN95" s="238"/>
      <c r="AO95" s="238"/>
      <c r="AP95" s="238"/>
      <c r="AQ95" s="238"/>
      <c r="AR95" s="238"/>
      <c r="AS95" s="238"/>
      <c r="AT95" s="238"/>
      <c r="AU95" s="238"/>
      <c r="AV95" s="238"/>
      <c r="AW95" s="238"/>
      <c r="AX95" s="238"/>
      <c r="AY95" s="238"/>
      <c r="AZ95" s="238"/>
      <c r="BA95" s="238"/>
      <c r="BB95" s="238"/>
      <c r="BC95" s="238"/>
      <c r="BD95" s="238"/>
      <c r="BE95" s="238"/>
      <c r="BF95" s="238"/>
      <c r="BG95" s="238"/>
      <c r="BH95" s="238"/>
      <c r="BI95" s="238"/>
      <c r="BJ95" s="238"/>
    </row>
    <row r="96" spans="1:62" s="156" customFormat="1" ht="38.25" x14ac:dyDescent="0.2">
      <c r="A96" s="625"/>
      <c r="B96" s="625"/>
      <c r="C96" s="18" t="s">
        <v>37</v>
      </c>
      <c r="D96" s="18" t="s">
        <v>38</v>
      </c>
      <c r="E96" s="18" t="s">
        <v>39</v>
      </c>
      <c r="F96" s="157"/>
      <c r="G96" s="157"/>
      <c r="H96" s="157"/>
      <c r="I96" s="157"/>
      <c r="J96" s="157"/>
      <c r="K96" s="157"/>
      <c r="N96" s="238"/>
      <c r="O96" s="238"/>
      <c r="P96" s="238"/>
      <c r="Q96" s="238"/>
      <c r="R96" s="238"/>
      <c r="S96" s="238"/>
      <c r="T96" s="238"/>
      <c r="U96" s="238"/>
      <c r="V96" s="238"/>
      <c r="W96" s="238"/>
      <c r="X96" s="238"/>
      <c r="Y96" s="238"/>
      <c r="Z96" s="238"/>
      <c r="AA96" s="238"/>
      <c r="AB96" s="238"/>
      <c r="AC96" s="238"/>
      <c r="AD96" s="238"/>
      <c r="AE96" s="238"/>
      <c r="AF96" s="238"/>
      <c r="AG96" s="238"/>
      <c r="AH96" s="238"/>
      <c r="AI96" s="238"/>
      <c r="AJ96" s="238"/>
      <c r="AK96" s="238"/>
      <c r="AL96" s="238"/>
      <c r="AM96" s="238"/>
      <c r="AN96" s="238"/>
      <c r="AO96" s="238"/>
      <c r="AP96" s="238"/>
      <c r="AQ96" s="238"/>
      <c r="AR96" s="238"/>
      <c r="AS96" s="238"/>
      <c r="AT96" s="238"/>
      <c r="AU96" s="238"/>
      <c r="AV96" s="238"/>
      <c r="AW96" s="238"/>
      <c r="AX96" s="238"/>
      <c r="AY96" s="238"/>
      <c r="AZ96" s="238"/>
      <c r="BA96" s="238"/>
      <c r="BB96" s="238"/>
      <c r="BC96" s="238"/>
      <c r="BD96" s="238"/>
      <c r="BE96" s="238"/>
      <c r="BF96" s="238"/>
      <c r="BG96" s="238"/>
      <c r="BH96" s="238"/>
      <c r="BI96" s="238"/>
      <c r="BJ96" s="238"/>
    </row>
    <row r="97" spans="1:62" s="156" customFormat="1" ht="12.75" customHeight="1" x14ac:dyDescent="0.2">
      <c r="A97" s="625"/>
      <c r="B97" s="625"/>
      <c r="C97" s="18"/>
      <c r="D97" s="18"/>
      <c r="E97" s="18"/>
      <c r="F97" s="157"/>
      <c r="G97" s="157"/>
      <c r="H97" s="157"/>
      <c r="I97" s="157"/>
      <c r="J97" s="157"/>
      <c r="K97" s="157"/>
      <c r="N97" s="238"/>
      <c r="O97" s="238"/>
      <c r="P97" s="238"/>
      <c r="Q97" s="238"/>
      <c r="R97" s="238"/>
      <c r="S97" s="238"/>
      <c r="T97" s="238"/>
      <c r="U97" s="238"/>
      <c r="V97" s="238"/>
      <c r="W97" s="238"/>
      <c r="X97" s="238"/>
      <c r="Y97" s="238"/>
      <c r="Z97" s="238"/>
      <c r="AA97" s="238"/>
      <c r="AB97" s="238"/>
      <c r="AC97" s="238"/>
      <c r="AD97" s="238"/>
      <c r="AE97" s="238"/>
      <c r="AF97" s="238"/>
      <c r="AG97" s="238"/>
      <c r="AH97" s="238"/>
      <c r="AI97" s="238"/>
      <c r="AJ97" s="238"/>
      <c r="AK97" s="238"/>
      <c r="AL97" s="238"/>
      <c r="AM97" s="238"/>
      <c r="AN97" s="238"/>
      <c r="AO97" s="238"/>
      <c r="AP97" s="238"/>
      <c r="AQ97" s="238"/>
      <c r="AR97" s="238"/>
      <c r="AS97" s="238"/>
      <c r="AT97" s="238"/>
      <c r="AU97" s="238"/>
      <c r="AV97" s="238"/>
      <c r="AW97" s="238"/>
      <c r="AX97" s="238"/>
      <c r="AY97" s="238"/>
      <c r="AZ97" s="238"/>
      <c r="BA97" s="238"/>
      <c r="BB97" s="238"/>
      <c r="BC97" s="238"/>
      <c r="BD97" s="238"/>
      <c r="BE97" s="238"/>
      <c r="BF97" s="238"/>
      <c r="BG97" s="238"/>
      <c r="BH97" s="238"/>
      <c r="BI97" s="238"/>
      <c r="BJ97" s="238"/>
    </row>
    <row r="98" spans="1:62" s="156" customFormat="1" ht="21" customHeight="1" x14ac:dyDescent="0.2">
      <c r="A98" s="123">
        <v>1</v>
      </c>
      <c r="B98" s="123">
        <v>2</v>
      </c>
      <c r="C98" s="123" t="s">
        <v>40</v>
      </c>
      <c r="D98" s="123" t="s">
        <v>41</v>
      </c>
      <c r="E98" s="123" t="s">
        <v>42</v>
      </c>
      <c r="F98" s="157"/>
      <c r="G98" s="157"/>
      <c r="H98" s="157"/>
      <c r="I98" s="157"/>
      <c r="J98" s="157"/>
      <c r="K98" s="157"/>
      <c r="N98" s="238"/>
      <c r="O98" s="238"/>
      <c r="P98" s="238"/>
      <c r="Q98" s="238"/>
      <c r="R98" s="238"/>
      <c r="S98" s="238"/>
      <c r="T98" s="238"/>
      <c r="U98" s="238"/>
      <c r="V98" s="238"/>
      <c r="W98" s="238"/>
      <c r="X98" s="238"/>
      <c r="Y98" s="238"/>
      <c r="Z98" s="238"/>
      <c r="AA98" s="238"/>
      <c r="AB98" s="238"/>
      <c r="AC98" s="238"/>
      <c r="AD98" s="238"/>
      <c r="AE98" s="238"/>
      <c r="AF98" s="238"/>
      <c r="AG98" s="238"/>
      <c r="AH98" s="238"/>
      <c r="AI98" s="238"/>
      <c r="AJ98" s="238"/>
      <c r="AK98" s="238"/>
      <c r="AL98" s="238"/>
      <c r="AM98" s="238"/>
      <c r="AN98" s="238"/>
      <c r="AO98" s="238"/>
      <c r="AP98" s="238"/>
      <c r="AQ98" s="238"/>
      <c r="AR98" s="238"/>
      <c r="AS98" s="238"/>
      <c r="AT98" s="238"/>
      <c r="AU98" s="238"/>
      <c r="AV98" s="238"/>
      <c r="AW98" s="238"/>
      <c r="AX98" s="238"/>
      <c r="AY98" s="238"/>
      <c r="AZ98" s="238"/>
      <c r="BA98" s="238"/>
      <c r="BB98" s="238"/>
      <c r="BC98" s="238"/>
      <c r="BD98" s="238"/>
      <c r="BE98" s="238"/>
      <c r="BF98" s="238"/>
      <c r="BG98" s="238"/>
      <c r="BH98" s="238"/>
      <c r="BI98" s="238"/>
      <c r="BJ98" s="238"/>
    </row>
    <row r="99" spans="1:62" s="156" customFormat="1" ht="83.25" customHeight="1" x14ac:dyDescent="0.2">
      <c r="A99" s="158" t="s">
        <v>564</v>
      </c>
      <c r="B99" s="18" t="s">
        <v>44</v>
      </c>
      <c r="C99" s="222">
        <v>0</v>
      </c>
      <c r="D99" s="159">
        <v>0</v>
      </c>
      <c r="E99" s="159">
        <v>0</v>
      </c>
      <c r="F99" s="157"/>
      <c r="G99" s="157"/>
      <c r="H99" s="157"/>
      <c r="I99" s="157"/>
      <c r="J99" s="157"/>
      <c r="K99" s="157"/>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238"/>
      <c r="AP99" s="238"/>
      <c r="AQ99" s="238"/>
      <c r="AR99" s="238"/>
      <c r="AS99" s="238"/>
      <c r="AT99" s="238"/>
      <c r="AU99" s="238"/>
      <c r="AV99" s="238"/>
      <c r="AW99" s="238"/>
      <c r="AX99" s="238"/>
      <c r="AY99" s="238"/>
      <c r="AZ99" s="238"/>
      <c r="BA99" s="238"/>
      <c r="BB99" s="238"/>
      <c r="BC99" s="238"/>
      <c r="BD99" s="238"/>
      <c r="BE99" s="238"/>
      <c r="BF99" s="238"/>
      <c r="BG99" s="238"/>
      <c r="BH99" s="238"/>
      <c r="BI99" s="238"/>
      <c r="BJ99" s="238"/>
    </row>
    <row r="100" spans="1:62" s="156" customFormat="1" ht="78.75" customHeight="1" x14ac:dyDescent="0.2">
      <c r="A100" s="18" t="s">
        <v>565</v>
      </c>
      <c r="B100" s="18" t="s">
        <v>46</v>
      </c>
      <c r="C100" s="222">
        <v>23726.200000000004</v>
      </c>
      <c r="D100" s="159">
        <v>0</v>
      </c>
      <c r="E100" s="159">
        <v>0</v>
      </c>
      <c r="F100" s="157"/>
      <c r="G100" s="157"/>
      <c r="H100" s="157"/>
      <c r="I100" s="157"/>
      <c r="J100" s="157"/>
      <c r="K100" s="157"/>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238"/>
      <c r="AP100" s="238"/>
      <c r="AQ100" s="238"/>
      <c r="AR100" s="238"/>
      <c r="AS100" s="238"/>
      <c r="AT100" s="238"/>
      <c r="AU100" s="238"/>
      <c r="AV100" s="238"/>
      <c r="AW100" s="238"/>
      <c r="AX100" s="238"/>
      <c r="AY100" s="238"/>
      <c r="AZ100" s="238"/>
      <c r="BA100" s="238"/>
      <c r="BB100" s="238"/>
      <c r="BC100" s="238"/>
      <c r="BD100" s="238"/>
      <c r="BE100" s="238"/>
      <c r="BF100" s="238"/>
      <c r="BG100" s="238"/>
      <c r="BH100" s="238"/>
      <c r="BI100" s="238"/>
      <c r="BJ100" s="238"/>
    </row>
  </sheetData>
  <customSheetViews>
    <customSheetView guid="{DC13F25B-CAA7-4E25-AFF1-0DCF9AD75BDE}" scale="70" showPageBreaks="1" printArea="1" view="pageBreakPreview" topLeftCell="A22">
      <selection activeCell="S17" sqref="S17"/>
      <rowBreaks count="2" manualBreakCount="2">
        <brk id="28" max="11" man="1"/>
        <brk id="53" max="11" man="1"/>
      </rowBreaks>
      <pageMargins left="0.59055118110236227" right="0.51181102362204722" top="1.1811023622047245" bottom="0.39370078740157483" header="0.19685039370078741" footer="0.19685039370078741"/>
      <printOptions horizontalCentered="1"/>
      <pageSetup paperSize="9" scale="56" firstPageNumber="25" orientation="landscape" useFirstPageNumber="1" r:id="rId1"/>
      <headerFooter alignWithMargins="0"/>
    </customSheetView>
    <customSheetView guid="{6AD2622C-AF85-4997-AA93-A54C85AD6D68}" scale="70" showPageBreaks="1" printArea="1" view="pageBreakPreview" topLeftCell="A4">
      <selection activeCell="N33" sqref="N33"/>
      <rowBreaks count="4" manualBreakCount="4">
        <brk id="15" max="11" man="1"/>
        <brk id="28" max="11" man="1"/>
        <brk id="51" max="11" man="1"/>
        <brk id="67" max="11" man="1"/>
      </rowBreaks>
      <pageMargins left="0.59055118110236227" right="0.51181102362204722" top="1.1811023622047245" bottom="0.39370078740157483" header="0.19685039370078741" footer="0.19685039370078741"/>
      <printOptions horizontalCentered="1"/>
      <pageSetup paperSize="9" scale="59" firstPageNumber="25" orientation="landscape" useFirstPageNumber="1" r:id="rId2"/>
      <headerFooter alignWithMargins="0">
        <oddHeader>&amp;C&amp;"Times New Roman,обычный"&amp;12&amp;P</oddHeader>
      </headerFooter>
    </customSheetView>
    <customSheetView guid="{C88A4605-0F8D-4713-9317-AF13632C8FA6}" scale="70" showPageBreaks="1" printArea="1" view="pageBreakPreview" topLeftCell="A4">
      <selection activeCell="N33" sqref="N33"/>
      <rowBreaks count="4" manualBreakCount="4">
        <brk id="15" max="11" man="1"/>
        <brk id="28" max="11" man="1"/>
        <brk id="51" max="11" man="1"/>
        <brk id="67" max="11" man="1"/>
      </rowBreaks>
      <pageMargins left="0.59055118110236227" right="0.51181102362204722" top="1.1811023622047245" bottom="0.39370078740157483" header="0.19685039370078741" footer="0.19685039370078741"/>
      <printOptions horizontalCentered="1"/>
      <pageSetup paperSize="9" scale="59" firstPageNumber="25" orientation="landscape" useFirstPageNumber="1" r:id="rId3"/>
      <headerFooter alignWithMargins="0">
        <oddHeader>&amp;C&amp;"Times New Roman,обычный"&amp;12&amp;P</oddHeader>
      </headerFooter>
    </customSheetView>
    <customSheetView guid="{84CC8968-6D7C-41C4-B973-ECD381BB63FC}" scale="70" showPageBreaks="1" printArea="1" view="pageBreakPreview" topLeftCell="A79">
      <selection activeCell="A42" sqref="A42"/>
      <rowBreaks count="2" manualBreakCount="2">
        <brk id="28" max="11" man="1"/>
        <brk id="53" max="11" man="1"/>
      </rowBreaks>
      <pageMargins left="0.59055118110236227" right="0.51181102362204722" top="1.1811023622047245" bottom="0.39370078740157483" header="0.19685039370078741" footer="0.19685039370078741"/>
      <printOptions horizontalCentered="1"/>
      <pageSetup paperSize="9" scale="56" firstPageNumber="25" orientation="landscape" useFirstPageNumber="1" r:id="rId4"/>
      <headerFooter alignWithMargins="0"/>
    </customSheetView>
    <customSheetView guid="{C47F8591-E97A-4739-B299-8B7B5E22A2DD}" scale="70" showPageBreaks="1" printArea="1" view="pageBreakPreview" topLeftCell="A22">
      <selection activeCell="S17" sqref="S17"/>
      <rowBreaks count="2" manualBreakCount="2">
        <brk id="28" max="11" man="1"/>
        <brk id="53" max="11" man="1"/>
      </rowBreaks>
      <pageMargins left="0.59055118110236227" right="0.51181102362204722" top="1.1811023622047245" bottom="0.39370078740157483" header="0.19685039370078741" footer="0.19685039370078741"/>
      <printOptions horizontalCentered="1"/>
      <pageSetup paperSize="9" scale="56" firstPageNumber="25" orientation="landscape" useFirstPageNumber="1" r:id="rId5"/>
      <headerFooter alignWithMargins="0"/>
    </customSheetView>
  </customSheetViews>
  <mergeCells count="74">
    <mergeCell ref="H79:H80"/>
    <mergeCell ref="B86:B87"/>
    <mergeCell ref="C86:C87"/>
    <mergeCell ref="D86:D87"/>
    <mergeCell ref="E86:E87"/>
    <mergeCell ref="F86:F87"/>
    <mergeCell ref="G86:G87"/>
    <mergeCell ref="H86:H87"/>
    <mergeCell ref="B79:B80"/>
    <mergeCell ref="C79:C80"/>
    <mergeCell ref="D79:D80"/>
    <mergeCell ref="E79:E80"/>
    <mergeCell ref="F79:F80"/>
    <mergeCell ref="G79:G80"/>
    <mergeCell ref="J21:K21"/>
    <mergeCell ref="A4:A7"/>
    <mergeCell ref="B4:B7"/>
    <mergeCell ref="C4:E4"/>
    <mergeCell ref="C6:C7"/>
    <mergeCell ref="D6:D7"/>
    <mergeCell ref="E6:E7"/>
    <mergeCell ref="D19:K19"/>
    <mergeCell ref="L19:L22"/>
    <mergeCell ref="G33:G34"/>
    <mergeCell ref="H33:I33"/>
    <mergeCell ref="J33:K33"/>
    <mergeCell ref="D31:K31"/>
    <mergeCell ref="D20:D22"/>
    <mergeCell ref="E20:K20"/>
    <mergeCell ref="E21:E22"/>
    <mergeCell ref="F21:F22"/>
    <mergeCell ref="G21:G22"/>
    <mergeCell ref="L31:L34"/>
    <mergeCell ref="D32:D34"/>
    <mergeCell ref="E32:K32"/>
    <mergeCell ref="E33:E34"/>
    <mergeCell ref="F33:F34"/>
    <mergeCell ref="H21:I21"/>
    <mergeCell ref="A31:A34"/>
    <mergeCell ref="B31:B34"/>
    <mergeCell ref="C31:C34"/>
    <mergeCell ref="A19:A22"/>
    <mergeCell ref="B19:B22"/>
    <mergeCell ref="C19:C22"/>
    <mergeCell ref="H74:H75"/>
    <mergeCell ref="A43:A46"/>
    <mergeCell ref="B43:B46"/>
    <mergeCell ref="C43:C46"/>
    <mergeCell ref="C74:C75"/>
    <mergeCell ref="D74:D75"/>
    <mergeCell ref="E74:E75"/>
    <mergeCell ref="F74:F75"/>
    <mergeCell ref="G74:G75"/>
    <mergeCell ref="E45:E46"/>
    <mergeCell ref="F45:F46"/>
    <mergeCell ref="G45:G46"/>
    <mergeCell ref="H45:I45"/>
    <mergeCell ref="D44:D46"/>
    <mergeCell ref="J45:K45"/>
    <mergeCell ref="A94:A97"/>
    <mergeCell ref="B94:B97"/>
    <mergeCell ref="C94:E94"/>
    <mergeCell ref="A1:M1"/>
    <mergeCell ref="C69:E69"/>
    <mergeCell ref="F69:H69"/>
    <mergeCell ref="A89:L89"/>
    <mergeCell ref="A56:A59"/>
    <mergeCell ref="B56:B59"/>
    <mergeCell ref="C56:E56"/>
    <mergeCell ref="C58:C59"/>
    <mergeCell ref="D58:D59"/>
    <mergeCell ref="E58:E59"/>
    <mergeCell ref="B74:B75"/>
    <mergeCell ref="L43:L46"/>
  </mergeCells>
  <printOptions horizontalCentered="1"/>
  <pageMargins left="0.59055118110236227" right="0.51181102362204722" top="1.1811023622047245" bottom="0.39370078740157483" header="0.19685039370078741" footer="0.19685039370078741"/>
  <pageSetup paperSize="9" scale="56" firstPageNumber="25" orientation="landscape" useFirstPageNumber="1" r:id="rId6"/>
  <headerFooter alignWithMargins="0"/>
  <rowBreaks count="2" manualBreakCount="2">
    <brk id="28" max="11" man="1"/>
    <brk id="53"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BJ100"/>
  <sheetViews>
    <sheetView view="pageBreakPreview" topLeftCell="A10" zoomScale="70" zoomScaleNormal="120" zoomScaleSheetLayoutView="70" workbookViewId="0">
      <selection activeCell="I64" sqref="I64:K68"/>
    </sheetView>
  </sheetViews>
  <sheetFormatPr defaultColWidth="0.85546875" defaultRowHeight="12.75" x14ac:dyDescent="0.2"/>
  <cols>
    <col min="1" max="1" width="30.28515625" style="6" customWidth="1"/>
    <col min="2" max="2" width="11.5703125" style="6" customWidth="1"/>
    <col min="3" max="3" width="18.28515625" style="6" customWidth="1"/>
    <col min="4" max="4" width="18.5703125" style="6" customWidth="1"/>
    <col min="5" max="5" width="20.28515625" style="6" customWidth="1"/>
    <col min="6" max="13" width="13.5703125" style="6" customWidth="1"/>
    <col min="14" max="62" width="22.140625" style="15" customWidth="1"/>
    <col min="63" max="16384" width="0.85546875" style="6"/>
  </cols>
  <sheetData>
    <row r="1" spans="1:49" ht="18.75" customHeight="1" x14ac:dyDescent="0.25">
      <c r="A1" s="645" t="s">
        <v>33</v>
      </c>
      <c r="B1" s="645"/>
      <c r="C1" s="645"/>
      <c r="D1" s="645"/>
      <c r="E1" s="645"/>
      <c r="F1" s="645"/>
      <c r="G1" s="645"/>
      <c r="H1" s="645"/>
      <c r="I1" s="645"/>
      <c r="J1" s="645"/>
      <c r="K1" s="645"/>
      <c r="L1" s="645"/>
      <c r="M1" s="645"/>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row>
    <row r="2" spans="1:49" ht="18.75" customHeight="1" x14ac:dyDescent="0.2">
      <c r="A2" s="5" t="s">
        <v>34</v>
      </c>
      <c r="B2" s="5"/>
      <c r="C2" s="5"/>
      <c r="D2" s="5"/>
      <c r="E2" s="5"/>
      <c r="F2" s="5"/>
      <c r="G2" s="5"/>
      <c r="H2" s="5"/>
      <c r="I2" s="5"/>
      <c r="J2" s="5"/>
      <c r="K2" s="5"/>
      <c r="L2" s="5"/>
      <c r="M2" s="5"/>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row>
    <row r="3" spans="1:49" ht="41.45" customHeight="1" x14ac:dyDescent="0.2">
      <c r="A3" s="656" t="s">
        <v>157</v>
      </c>
      <c r="B3" s="656"/>
      <c r="C3" s="656"/>
      <c r="D3" s="656"/>
      <c r="E3" s="656"/>
      <c r="F3" s="656"/>
      <c r="G3" s="656"/>
      <c r="H3" s="656"/>
      <c r="I3" s="656"/>
      <c r="J3" s="656"/>
      <c r="K3" s="656"/>
      <c r="L3" s="656"/>
      <c r="M3" s="7"/>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6"/>
      <c r="AR3" s="236"/>
      <c r="AS3" s="236"/>
      <c r="AT3" s="236"/>
      <c r="AU3" s="236"/>
      <c r="AV3" s="236"/>
      <c r="AW3" s="236"/>
    </row>
    <row r="4" spans="1:49" ht="12.75" customHeight="1" x14ac:dyDescent="0.2">
      <c r="A4" s="453" t="s">
        <v>36</v>
      </c>
      <c r="B4" s="453" t="s">
        <v>2</v>
      </c>
      <c r="C4" s="453" t="s">
        <v>21</v>
      </c>
      <c r="D4" s="453"/>
      <c r="E4" s="453"/>
      <c r="F4" s="9"/>
      <c r="G4" s="9"/>
      <c r="H4" s="9"/>
      <c r="I4" s="9"/>
      <c r="J4" s="9"/>
      <c r="K4" s="9"/>
    </row>
    <row r="5" spans="1:49" x14ac:dyDescent="0.2">
      <c r="A5" s="453"/>
      <c r="B5" s="453"/>
      <c r="C5" s="272" t="s">
        <v>477</v>
      </c>
      <c r="D5" s="272" t="s">
        <v>552</v>
      </c>
      <c r="E5" s="272" t="s">
        <v>579</v>
      </c>
      <c r="F5" s="9"/>
      <c r="G5" s="9"/>
      <c r="H5" s="9"/>
      <c r="I5" s="9"/>
      <c r="J5" s="9"/>
      <c r="K5" s="9"/>
    </row>
    <row r="6" spans="1:49" ht="12.75" customHeight="1" x14ac:dyDescent="0.2">
      <c r="A6" s="453"/>
      <c r="B6" s="453"/>
      <c r="C6" s="453" t="s">
        <v>37</v>
      </c>
      <c r="D6" s="453" t="s">
        <v>38</v>
      </c>
      <c r="E6" s="453" t="s">
        <v>39</v>
      </c>
      <c r="F6" s="9"/>
      <c r="G6" s="9"/>
      <c r="H6" s="9"/>
      <c r="I6" s="9"/>
      <c r="J6" s="9"/>
      <c r="K6" s="9"/>
    </row>
    <row r="7" spans="1:49" x14ac:dyDescent="0.2">
      <c r="A7" s="453"/>
      <c r="B7" s="453"/>
      <c r="C7" s="453"/>
      <c r="D7" s="453"/>
      <c r="E7" s="453"/>
      <c r="F7" s="9"/>
      <c r="G7" s="9"/>
      <c r="H7" s="9"/>
      <c r="I7" s="9"/>
      <c r="J7" s="9"/>
      <c r="K7" s="9"/>
    </row>
    <row r="8" spans="1:49" x14ac:dyDescent="0.2">
      <c r="A8" s="8">
        <v>1</v>
      </c>
      <c r="B8" s="8">
        <v>2</v>
      </c>
      <c r="C8" s="8" t="s">
        <v>40</v>
      </c>
      <c r="D8" s="8" t="s">
        <v>41</v>
      </c>
      <c r="E8" s="8" t="s">
        <v>42</v>
      </c>
      <c r="F8" s="9"/>
      <c r="G8" s="9"/>
      <c r="H8" s="9"/>
      <c r="I8" s="9"/>
      <c r="J8" s="9"/>
      <c r="K8" s="9"/>
    </row>
    <row r="9" spans="1:49" ht="38.25" x14ac:dyDescent="0.2">
      <c r="A9" s="10" t="s">
        <v>43</v>
      </c>
      <c r="B9" s="10" t="s">
        <v>44</v>
      </c>
      <c r="C9" s="10"/>
      <c r="D9" s="10"/>
      <c r="E9" s="10"/>
      <c r="F9" s="9"/>
      <c r="G9" s="9"/>
      <c r="H9" s="9"/>
      <c r="I9" s="9"/>
      <c r="J9" s="9"/>
      <c r="K9" s="9"/>
    </row>
    <row r="10" spans="1:49" ht="38.25" x14ac:dyDescent="0.2">
      <c r="A10" s="10" t="s">
        <v>45</v>
      </c>
      <c r="B10" s="10" t="s">
        <v>46</v>
      </c>
      <c r="C10" s="10"/>
      <c r="D10" s="10"/>
      <c r="E10" s="10"/>
      <c r="F10" s="9"/>
      <c r="G10" s="9"/>
      <c r="H10" s="9"/>
      <c r="I10" s="9"/>
      <c r="J10" s="9"/>
      <c r="K10" s="9"/>
    </row>
    <row r="11" spans="1:49" x14ac:dyDescent="0.2">
      <c r="A11" s="10" t="s">
        <v>47</v>
      </c>
      <c r="B11" s="10" t="s">
        <v>48</v>
      </c>
      <c r="C11" s="16">
        <f>L27</f>
        <v>3928529.51</v>
      </c>
      <c r="D11" s="16">
        <f>L39</f>
        <v>4467390</v>
      </c>
      <c r="E11" s="16">
        <f>L51</f>
        <v>4467390</v>
      </c>
      <c r="F11" s="9"/>
      <c r="G11" s="9"/>
      <c r="H11" s="9"/>
      <c r="I11" s="9"/>
      <c r="J11" s="9"/>
      <c r="K11" s="9"/>
    </row>
    <row r="12" spans="1:49" ht="38.25" x14ac:dyDescent="0.2">
      <c r="A12" s="10" t="s">
        <v>49</v>
      </c>
      <c r="B12" s="10" t="s">
        <v>50</v>
      </c>
      <c r="C12" s="10"/>
      <c r="D12" s="10"/>
      <c r="E12" s="10"/>
      <c r="F12" s="9"/>
      <c r="G12" s="9"/>
      <c r="H12" s="9"/>
      <c r="I12" s="9"/>
      <c r="J12" s="9"/>
      <c r="K12" s="9"/>
    </row>
    <row r="13" spans="1:49" ht="38.25" x14ac:dyDescent="0.2">
      <c r="A13" s="10" t="s">
        <v>51</v>
      </c>
      <c r="B13" s="10" t="s">
        <v>52</v>
      </c>
      <c r="C13" s="10"/>
      <c r="D13" s="10"/>
      <c r="E13" s="10"/>
      <c r="F13" s="9"/>
      <c r="G13" s="9"/>
      <c r="H13" s="9"/>
      <c r="I13" s="9"/>
      <c r="J13" s="9"/>
      <c r="K13" s="9"/>
    </row>
    <row r="14" spans="1:49" ht="51" x14ac:dyDescent="0.2">
      <c r="A14" s="10" t="s">
        <v>53</v>
      </c>
      <c r="B14" s="10" t="s">
        <v>54</v>
      </c>
      <c r="C14" s="10">
        <f>C9-C10+C11-C12+C13</f>
        <v>3928529.51</v>
      </c>
      <c r="D14" s="10">
        <f>D9-D10+D11-D12+D13</f>
        <v>4467390</v>
      </c>
      <c r="E14" s="10">
        <f>E9-E10+E11-E12+E13</f>
        <v>4467390</v>
      </c>
      <c r="F14" s="9"/>
      <c r="G14" s="9"/>
      <c r="H14" s="9"/>
      <c r="I14" s="9"/>
      <c r="J14" s="9"/>
      <c r="K14" s="9"/>
    </row>
    <row r="15" spans="1:49" ht="18.75" customHeight="1" x14ac:dyDescent="0.2">
      <c r="A15" s="9"/>
      <c r="B15" s="9"/>
      <c r="C15" s="9"/>
      <c r="D15" s="9"/>
      <c r="E15" s="9"/>
      <c r="F15" s="9"/>
      <c r="G15" s="9"/>
      <c r="H15" s="9"/>
      <c r="I15" s="9"/>
      <c r="J15" s="9"/>
      <c r="K15" s="9"/>
      <c r="L15" s="9"/>
      <c r="M15" s="9"/>
      <c r="N15" s="21"/>
      <c r="O15" s="21"/>
      <c r="P15" s="21"/>
      <c r="Q15" s="21"/>
      <c r="R15" s="21"/>
      <c r="S15" s="21"/>
      <c r="T15" s="21"/>
      <c r="U15" s="21"/>
      <c r="V15" s="21"/>
      <c r="W15" s="21"/>
      <c r="X15" s="21"/>
      <c r="Y15" s="21"/>
      <c r="Z15" s="21"/>
      <c r="AA15" s="21"/>
      <c r="AB15" s="21"/>
      <c r="AC15" s="21"/>
      <c r="AD15" s="21"/>
      <c r="AE15" s="21"/>
      <c r="AF15" s="21"/>
      <c r="AG15" s="21"/>
      <c r="AH15" s="21"/>
    </row>
    <row r="16" spans="1:49" x14ac:dyDescent="0.2">
      <c r="A16" s="5" t="s">
        <v>55</v>
      </c>
      <c r="B16" s="5"/>
      <c r="C16" s="5"/>
      <c r="D16" s="5"/>
      <c r="E16" s="5"/>
      <c r="F16" s="5"/>
      <c r="G16" s="5"/>
      <c r="H16" s="5"/>
      <c r="I16" s="5"/>
      <c r="J16" s="5"/>
      <c r="K16" s="5"/>
      <c r="L16" s="5"/>
      <c r="M16" s="5"/>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row>
    <row r="17" spans="1:49" ht="31.9" customHeight="1" x14ac:dyDescent="0.2">
      <c r="A17" s="5" t="s">
        <v>589</v>
      </c>
      <c r="B17" s="5"/>
      <c r="C17" s="5"/>
      <c r="D17" s="5"/>
      <c r="E17" s="5"/>
      <c r="F17" s="5"/>
      <c r="G17" s="5"/>
      <c r="H17" s="5"/>
      <c r="I17" s="5"/>
      <c r="J17" s="5"/>
      <c r="K17" s="5"/>
      <c r="L17" s="5"/>
      <c r="M17" s="5"/>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row>
    <row r="19" spans="1:49" ht="16.899999999999999" customHeight="1" x14ac:dyDescent="0.2">
      <c r="A19" s="453" t="s">
        <v>56</v>
      </c>
      <c r="B19" s="453" t="s">
        <v>2</v>
      </c>
      <c r="C19" s="453" t="s">
        <v>57</v>
      </c>
      <c r="D19" s="453" t="s">
        <v>58</v>
      </c>
      <c r="E19" s="453"/>
      <c r="F19" s="453"/>
      <c r="G19" s="453"/>
      <c r="H19" s="453"/>
      <c r="I19" s="453"/>
      <c r="J19" s="453"/>
      <c r="K19" s="453"/>
      <c r="L19" s="453" t="s">
        <v>59</v>
      </c>
    </row>
    <row r="20" spans="1:49" ht="16.899999999999999" customHeight="1" x14ac:dyDescent="0.2">
      <c r="A20" s="453"/>
      <c r="B20" s="453"/>
      <c r="C20" s="453"/>
      <c r="D20" s="453" t="s">
        <v>60</v>
      </c>
      <c r="E20" s="453" t="s">
        <v>61</v>
      </c>
      <c r="F20" s="453"/>
      <c r="G20" s="453"/>
      <c r="H20" s="453"/>
      <c r="I20" s="453"/>
      <c r="J20" s="453"/>
      <c r="K20" s="453"/>
      <c r="L20" s="453"/>
    </row>
    <row r="21" spans="1:49" ht="31.9" customHeight="1" x14ac:dyDescent="0.2">
      <c r="A21" s="453"/>
      <c r="B21" s="453"/>
      <c r="C21" s="453"/>
      <c r="D21" s="453"/>
      <c r="E21" s="453" t="s">
        <v>62</v>
      </c>
      <c r="F21" s="453" t="s">
        <v>63</v>
      </c>
      <c r="G21" s="453" t="s">
        <v>64</v>
      </c>
      <c r="H21" s="453" t="s">
        <v>65</v>
      </c>
      <c r="I21" s="453"/>
      <c r="J21" s="453" t="s">
        <v>66</v>
      </c>
      <c r="K21" s="453"/>
      <c r="L21" s="453"/>
    </row>
    <row r="22" spans="1:49" ht="69" customHeight="1" x14ac:dyDescent="0.2">
      <c r="A22" s="453"/>
      <c r="B22" s="453"/>
      <c r="C22" s="453"/>
      <c r="D22" s="453"/>
      <c r="E22" s="453"/>
      <c r="F22" s="453"/>
      <c r="G22" s="453"/>
      <c r="H22" s="10" t="s">
        <v>67</v>
      </c>
      <c r="I22" s="10" t="s">
        <v>68</v>
      </c>
      <c r="J22" s="10" t="s">
        <v>67</v>
      </c>
      <c r="K22" s="10" t="s">
        <v>69</v>
      </c>
      <c r="L22" s="453"/>
    </row>
    <row r="23" spans="1:49" x14ac:dyDescent="0.2">
      <c r="A23" s="8">
        <v>1</v>
      </c>
      <c r="B23" s="8">
        <v>2</v>
      </c>
      <c r="C23" s="8">
        <v>3</v>
      </c>
      <c r="D23" s="8">
        <v>4</v>
      </c>
      <c r="E23" s="8">
        <v>5</v>
      </c>
      <c r="F23" s="8">
        <v>6</v>
      </c>
      <c r="G23" s="8">
        <v>7</v>
      </c>
      <c r="H23" s="8">
        <v>8</v>
      </c>
      <c r="I23" s="8">
        <v>9</v>
      </c>
      <c r="J23" s="8">
        <v>10</v>
      </c>
      <c r="K23" s="8">
        <v>11</v>
      </c>
      <c r="L23" s="8">
        <v>12</v>
      </c>
    </row>
    <row r="24" spans="1:49" ht="25.5" customHeight="1" x14ac:dyDescent="0.2">
      <c r="A24" s="10" t="s">
        <v>116</v>
      </c>
      <c r="B24" s="10" t="s">
        <v>10</v>
      </c>
      <c r="C24" s="102">
        <v>3</v>
      </c>
      <c r="D24" s="102">
        <f>ROUND(E24+F24+G24+I24+K24,2)</f>
        <v>45125.83</v>
      </c>
      <c r="E24" s="102">
        <v>19517</v>
      </c>
      <c r="F24" s="102">
        <v>2091.1</v>
      </c>
      <c r="G24" s="102">
        <v>6595.5435763888781</v>
      </c>
      <c r="H24" s="235">
        <v>30</v>
      </c>
      <c r="I24" s="102">
        <f>(E24+F24+G24)*H24/100</f>
        <v>8461.093072916663</v>
      </c>
      <c r="J24" s="235">
        <v>30</v>
      </c>
      <c r="K24" s="102">
        <f>(E24+F24+G24)*J24/100</f>
        <v>8461.093072916663</v>
      </c>
      <c r="L24" s="102">
        <f>ROUND(C24*D24*12,0)-0.49</f>
        <v>1624529.51</v>
      </c>
      <c r="M24" s="15"/>
    </row>
    <row r="25" spans="1:49" ht="41.25" customHeight="1" x14ac:dyDescent="0.2">
      <c r="A25" s="10" t="s">
        <v>117</v>
      </c>
      <c r="B25" s="10" t="s">
        <v>11</v>
      </c>
      <c r="C25" s="102">
        <v>4.75</v>
      </c>
      <c r="D25" s="102">
        <f>ROUND(E25+F25+G25+I25+K25,2)</f>
        <v>30000</v>
      </c>
      <c r="E25" s="102">
        <v>4755.6315789473683</v>
      </c>
      <c r="F25" s="102">
        <v>0</v>
      </c>
      <c r="G25" s="102">
        <v>13994.365526315789</v>
      </c>
      <c r="H25" s="235">
        <v>30</v>
      </c>
      <c r="I25" s="102">
        <f t="shared" ref="I25:I26" si="0">(E25+F25+G25)*H25/100</f>
        <v>5624.9991315789475</v>
      </c>
      <c r="J25" s="235">
        <v>30</v>
      </c>
      <c r="K25" s="102">
        <f t="shared" ref="K25:K26" si="1">(E25+F25+G25)*J25/100</f>
        <v>5624.9991315789475</v>
      </c>
      <c r="L25" s="102">
        <f>ROUND(C25*D25*12,0)</f>
        <v>1710000</v>
      </c>
      <c r="M25" s="15"/>
    </row>
    <row r="26" spans="1:49" ht="38.25" x14ac:dyDescent="0.2">
      <c r="A26" s="269" t="s">
        <v>576</v>
      </c>
      <c r="B26" s="10"/>
      <c r="C26" s="102">
        <v>1.5</v>
      </c>
      <c r="D26" s="102">
        <f>ROUND(E26+F26+G26+I26+K26,2)</f>
        <v>32999.99</v>
      </c>
      <c r="E26" s="102">
        <v>8957</v>
      </c>
      <c r="F26" s="102">
        <v>0</v>
      </c>
      <c r="G26" s="102">
        <v>11667.996666666664</v>
      </c>
      <c r="H26" s="235">
        <v>30</v>
      </c>
      <c r="I26" s="102">
        <f t="shared" si="0"/>
        <v>6187.4989999999998</v>
      </c>
      <c r="J26" s="235">
        <v>30</v>
      </c>
      <c r="K26" s="102">
        <f t="shared" si="1"/>
        <v>6187.4989999999998</v>
      </c>
      <c r="L26" s="102">
        <f>ROUND(C26*D26*12,0)</f>
        <v>594000</v>
      </c>
    </row>
    <row r="27" spans="1:49" x14ac:dyDescent="0.2">
      <c r="A27" s="16" t="s">
        <v>71</v>
      </c>
      <c r="B27" s="16" t="s">
        <v>72</v>
      </c>
      <c r="C27" s="102" t="s">
        <v>14</v>
      </c>
      <c r="D27" s="102">
        <f>SUM(D24:D26)</f>
        <v>108125.82</v>
      </c>
      <c r="E27" s="102">
        <f>SUM(E24:E26)</f>
        <v>33229.631578947367</v>
      </c>
      <c r="F27" s="102">
        <f>SUM(F24:F26)</f>
        <v>2091.1</v>
      </c>
      <c r="G27" s="102">
        <f>SUM(G24:G26)</f>
        <v>32257.905769371333</v>
      </c>
      <c r="H27" s="102"/>
      <c r="I27" s="102">
        <f>SUM(I24:I26)</f>
        <v>20273.591204495609</v>
      </c>
      <c r="J27" s="102"/>
      <c r="K27" s="102">
        <f>SUM(K24:K26)</f>
        <v>20273.591204495609</v>
      </c>
      <c r="L27" s="102">
        <f>SUM(L24:L26)</f>
        <v>3928529.51</v>
      </c>
      <c r="M27" s="221">
        <v>3928529.51</v>
      </c>
      <c r="N27" s="15">
        <f>M27-L27</f>
        <v>0</v>
      </c>
      <c r="O27" s="15">
        <f>P24/C25/1.6/12</f>
        <v>0</v>
      </c>
    </row>
    <row r="28" spans="1:49" ht="3.6" customHeight="1" x14ac:dyDescent="0.2"/>
    <row r="29" spans="1:49" ht="29.45" customHeight="1" x14ac:dyDescent="0.2">
      <c r="A29" s="227" t="s">
        <v>588</v>
      </c>
    </row>
    <row r="30" spans="1:49" ht="13.9" customHeight="1" x14ac:dyDescent="0.2"/>
    <row r="31" spans="1:49" ht="12.75" customHeight="1" x14ac:dyDescent="0.2">
      <c r="A31" s="453" t="s">
        <v>56</v>
      </c>
      <c r="B31" s="453" t="s">
        <v>2</v>
      </c>
      <c r="C31" s="453" t="s">
        <v>57</v>
      </c>
      <c r="D31" s="453" t="s">
        <v>58</v>
      </c>
      <c r="E31" s="453"/>
      <c r="F31" s="453"/>
      <c r="G31" s="453"/>
      <c r="H31" s="453"/>
      <c r="I31" s="453"/>
      <c r="J31" s="453"/>
      <c r="K31" s="453"/>
      <c r="L31" s="453" t="s">
        <v>73</v>
      </c>
      <c r="M31" s="9"/>
      <c r="N31" s="21"/>
    </row>
    <row r="32" spans="1:49" ht="12.75" customHeight="1" x14ac:dyDescent="0.2">
      <c r="A32" s="453"/>
      <c r="B32" s="453"/>
      <c r="C32" s="453"/>
      <c r="D32" s="453" t="s">
        <v>74</v>
      </c>
      <c r="E32" s="453" t="s">
        <v>61</v>
      </c>
      <c r="F32" s="453"/>
      <c r="G32" s="453"/>
      <c r="H32" s="453"/>
      <c r="I32" s="453"/>
      <c r="J32" s="453"/>
      <c r="K32" s="453"/>
      <c r="L32" s="453"/>
    </row>
    <row r="33" spans="1:34" ht="27" customHeight="1" x14ac:dyDescent="0.2">
      <c r="A33" s="453"/>
      <c r="B33" s="453"/>
      <c r="C33" s="453"/>
      <c r="D33" s="453"/>
      <c r="E33" s="453" t="s">
        <v>75</v>
      </c>
      <c r="F33" s="453" t="s">
        <v>63</v>
      </c>
      <c r="G33" s="453" t="s">
        <v>64</v>
      </c>
      <c r="H33" s="453" t="s">
        <v>65</v>
      </c>
      <c r="I33" s="453"/>
      <c r="J33" s="453" t="s">
        <v>66</v>
      </c>
      <c r="K33" s="453"/>
      <c r="L33" s="453"/>
    </row>
    <row r="34" spans="1:34" ht="67.900000000000006" customHeight="1" x14ac:dyDescent="0.2">
      <c r="A34" s="453"/>
      <c r="B34" s="453"/>
      <c r="C34" s="453"/>
      <c r="D34" s="453"/>
      <c r="E34" s="453"/>
      <c r="F34" s="453"/>
      <c r="G34" s="453"/>
      <c r="H34" s="10" t="s">
        <v>67</v>
      </c>
      <c r="I34" s="10" t="s">
        <v>76</v>
      </c>
      <c r="J34" s="10" t="s">
        <v>67</v>
      </c>
      <c r="K34" s="10" t="s">
        <v>77</v>
      </c>
      <c r="L34" s="453"/>
    </row>
    <row r="35" spans="1:34" x14ac:dyDescent="0.2">
      <c r="A35" s="122">
        <v>1</v>
      </c>
      <c r="B35" s="122">
        <v>2</v>
      </c>
      <c r="C35" s="122">
        <v>3</v>
      </c>
      <c r="D35" s="122">
        <v>4</v>
      </c>
      <c r="E35" s="122">
        <v>5</v>
      </c>
      <c r="F35" s="122">
        <v>6</v>
      </c>
      <c r="G35" s="122">
        <v>7</v>
      </c>
      <c r="H35" s="122">
        <v>8</v>
      </c>
      <c r="I35" s="122">
        <v>9</v>
      </c>
      <c r="J35" s="122">
        <v>10</v>
      </c>
      <c r="K35" s="122">
        <v>11</v>
      </c>
      <c r="L35" s="122">
        <v>12</v>
      </c>
      <c r="M35" s="9"/>
      <c r="N35" s="21"/>
    </row>
    <row r="36" spans="1:34" ht="25.5" customHeight="1" x14ac:dyDescent="0.2">
      <c r="A36" s="10" t="s">
        <v>116</v>
      </c>
      <c r="B36" s="10" t="s">
        <v>10</v>
      </c>
      <c r="C36" s="102">
        <v>3</v>
      </c>
      <c r="D36" s="102">
        <f>ROUND(E36+F36+G36+I36+K36,2)</f>
        <v>60094.17</v>
      </c>
      <c r="E36" s="102">
        <v>19517</v>
      </c>
      <c r="F36" s="102">
        <v>2091.1</v>
      </c>
      <c r="G36" s="102">
        <v>15950.754166666664</v>
      </c>
      <c r="H36" s="235">
        <v>30</v>
      </c>
      <c r="I36" s="102">
        <f>(E36+F36+G36)*H36/100</f>
        <v>11267.65625</v>
      </c>
      <c r="J36" s="235">
        <v>30</v>
      </c>
      <c r="K36" s="102">
        <f>(E36+F36+G36)*J36/100</f>
        <v>11267.65625</v>
      </c>
      <c r="L36" s="102">
        <f>ROUND(C36*D36*12,0)</f>
        <v>2163390</v>
      </c>
      <c r="M36" s="15"/>
      <c r="N36" s="21"/>
    </row>
    <row r="37" spans="1:34" ht="42" customHeight="1" x14ac:dyDescent="0.2">
      <c r="A37" s="10" t="s">
        <v>117</v>
      </c>
      <c r="B37" s="10" t="s">
        <v>11</v>
      </c>
      <c r="C37" s="102">
        <v>4.75</v>
      </c>
      <c r="D37" s="102">
        <f>ROUND(E37+F37+G37+I37+K37,2)</f>
        <v>30000</v>
      </c>
      <c r="E37" s="102">
        <v>4755.6315789473683</v>
      </c>
      <c r="F37" s="102">
        <v>0</v>
      </c>
      <c r="G37" s="102">
        <v>13994.368421052632</v>
      </c>
      <c r="H37" s="235">
        <v>30</v>
      </c>
      <c r="I37" s="102">
        <f t="shared" ref="I37" si="2">(E37+F37+G37)*H37/100</f>
        <v>5625</v>
      </c>
      <c r="J37" s="235">
        <v>30</v>
      </c>
      <c r="K37" s="102">
        <f t="shared" ref="K37" si="3">(E37+F37+G37)*J37/100</f>
        <v>5625</v>
      </c>
      <c r="L37" s="102">
        <f>ROUND(C37*D37*12,0)</f>
        <v>1710000</v>
      </c>
      <c r="M37" s="15"/>
      <c r="N37" s="21"/>
    </row>
    <row r="38" spans="1:34" ht="38.25" x14ac:dyDescent="0.2">
      <c r="A38" s="340" t="s">
        <v>576</v>
      </c>
      <c r="B38" s="10"/>
      <c r="C38" s="102">
        <v>1.5</v>
      </c>
      <c r="D38" s="102">
        <f>ROUND(E38+F38+G38+I38+K38,2)</f>
        <v>33000</v>
      </c>
      <c r="E38" s="102">
        <v>8957</v>
      </c>
      <c r="F38" s="102">
        <v>0</v>
      </c>
      <c r="G38" s="102">
        <v>11668</v>
      </c>
      <c r="H38" s="235">
        <v>30</v>
      </c>
      <c r="I38" s="102">
        <f t="shared" ref="I38" si="4">(E38+F38+G38)*H38/100</f>
        <v>6187.5</v>
      </c>
      <c r="J38" s="235">
        <v>30</v>
      </c>
      <c r="K38" s="102">
        <f t="shared" ref="K38" si="5">(E38+F38+G38)*J38/100</f>
        <v>6187.5</v>
      </c>
      <c r="L38" s="102">
        <f>ROUND(C38*D38*12,0)</f>
        <v>594000</v>
      </c>
      <c r="M38" s="88"/>
      <c r="N38" s="21"/>
    </row>
    <row r="39" spans="1:34" x14ac:dyDescent="0.2">
      <c r="A39" s="16" t="s">
        <v>71</v>
      </c>
      <c r="B39" s="16" t="s">
        <v>72</v>
      </c>
      <c r="C39" s="102" t="s">
        <v>14</v>
      </c>
      <c r="D39" s="102">
        <f>SUM(D36:D38)</f>
        <v>123094.17</v>
      </c>
      <c r="E39" s="102">
        <f>SUM(E36:E38)</f>
        <v>33229.631578947367</v>
      </c>
      <c r="F39" s="102">
        <f>SUM(F36:F38)</f>
        <v>2091.1</v>
      </c>
      <c r="G39" s="102">
        <f>SUM(G36:G38)</f>
        <v>41613.122587719292</v>
      </c>
      <c r="H39" s="102"/>
      <c r="I39" s="102">
        <f>SUM(I36:I38)</f>
        <v>23080.15625</v>
      </c>
      <c r="J39" s="102"/>
      <c r="K39" s="102">
        <f>SUM(K36:K38)</f>
        <v>23080.15625</v>
      </c>
      <c r="L39" s="102">
        <f>SUM(L36:L38)</f>
        <v>4467390</v>
      </c>
      <c r="M39" s="15">
        <v>4467390</v>
      </c>
      <c r="N39" s="15">
        <f>M39-L39</f>
        <v>0</v>
      </c>
    </row>
    <row r="40" spans="1:34" ht="6" customHeight="1" x14ac:dyDescent="0.2">
      <c r="A40" s="9"/>
      <c r="B40" s="9"/>
      <c r="C40" s="9"/>
      <c r="D40" s="9"/>
      <c r="E40" s="9"/>
      <c r="F40" s="9"/>
      <c r="G40" s="9"/>
      <c r="H40" s="9"/>
      <c r="I40" s="9"/>
      <c r="J40" s="9"/>
      <c r="K40" s="9"/>
      <c r="L40" s="9"/>
      <c r="M40" s="9"/>
      <c r="N40" s="21"/>
      <c r="O40" s="21"/>
      <c r="P40" s="21"/>
      <c r="Q40" s="21"/>
      <c r="R40" s="21"/>
      <c r="S40" s="21"/>
      <c r="T40" s="21"/>
      <c r="U40" s="21"/>
      <c r="V40" s="21"/>
      <c r="W40" s="21"/>
      <c r="X40" s="21"/>
      <c r="Y40" s="21"/>
      <c r="Z40" s="21"/>
      <c r="AA40" s="21"/>
      <c r="AB40" s="21"/>
      <c r="AC40" s="21"/>
      <c r="AD40" s="21"/>
      <c r="AE40" s="21"/>
      <c r="AF40" s="21"/>
      <c r="AG40" s="21"/>
      <c r="AH40" s="21"/>
    </row>
    <row r="41" spans="1:34" ht="42" customHeight="1" x14ac:dyDescent="0.2">
      <c r="A41" s="227" t="s">
        <v>587</v>
      </c>
    </row>
    <row r="42" spans="1:34" ht="9.6" customHeight="1" x14ac:dyDescent="0.2">
      <c r="A42" s="9"/>
      <c r="B42" s="9"/>
      <c r="C42" s="9"/>
      <c r="D42" s="9"/>
      <c r="E42" s="9"/>
      <c r="F42" s="9"/>
      <c r="G42" s="9"/>
      <c r="H42" s="9"/>
      <c r="I42" s="9"/>
      <c r="J42" s="9"/>
      <c r="K42" s="9"/>
      <c r="L42" s="9"/>
      <c r="M42" s="9"/>
      <c r="N42" s="21"/>
      <c r="O42" s="21"/>
      <c r="P42" s="21"/>
      <c r="Q42" s="21"/>
      <c r="R42" s="21"/>
      <c r="S42" s="21"/>
      <c r="T42" s="21"/>
      <c r="U42" s="21"/>
      <c r="V42" s="21"/>
      <c r="W42" s="21"/>
      <c r="X42" s="21"/>
      <c r="Y42" s="21"/>
      <c r="Z42" s="21"/>
      <c r="AA42" s="21"/>
      <c r="AB42" s="21"/>
      <c r="AC42" s="21"/>
      <c r="AD42" s="21"/>
      <c r="AE42" s="21"/>
    </row>
    <row r="43" spans="1:34" ht="12.75" customHeight="1" x14ac:dyDescent="0.2">
      <c r="A43" s="453" t="s">
        <v>56</v>
      </c>
      <c r="B43" s="453" t="s">
        <v>2</v>
      </c>
      <c r="C43" s="453" t="s">
        <v>57</v>
      </c>
      <c r="D43" s="642" t="s">
        <v>58</v>
      </c>
      <c r="E43" s="643"/>
      <c r="F43" s="643"/>
      <c r="G43" s="643"/>
      <c r="H43" s="643"/>
      <c r="I43" s="643"/>
      <c r="J43" s="643"/>
      <c r="K43" s="644"/>
      <c r="L43" s="10" t="s">
        <v>78</v>
      </c>
    </row>
    <row r="44" spans="1:34" ht="12.75" customHeight="1" x14ac:dyDescent="0.2">
      <c r="A44" s="453"/>
      <c r="B44" s="453"/>
      <c r="C44" s="453"/>
      <c r="D44" s="453" t="s">
        <v>74</v>
      </c>
      <c r="E44" s="642" t="s">
        <v>61</v>
      </c>
      <c r="F44" s="643"/>
      <c r="G44" s="643"/>
      <c r="H44" s="643"/>
      <c r="I44" s="643"/>
      <c r="J44" s="643"/>
      <c r="K44" s="644"/>
      <c r="L44" s="10"/>
    </row>
    <row r="45" spans="1:34" ht="27.6" customHeight="1" x14ac:dyDescent="0.2">
      <c r="A45" s="453"/>
      <c r="B45" s="453"/>
      <c r="C45" s="453"/>
      <c r="D45" s="453"/>
      <c r="E45" s="453" t="s">
        <v>79</v>
      </c>
      <c r="F45" s="453" t="s">
        <v>63</v>
      </c>
      <c r="G45" s="453" t="s">
        <v>64</v>
      </c>
      <c r="H45" s="453" t="s">
        <v>65</v>
      </c>
      <c r="I45" s="453"/>
      <c r="J45" s="453" t="s">
        <v>66</v>
      </c>
      <c r="K45" s="453"/>
      <c r="L45" s="10"/>
    </row>
    <row r="46" spans="1:34" ht="67.900000000000006" customHeight="1" x14ac:dyDescent="0.2">
      <c r="A46" s="453"/>
      <c r="B46" s="453"/>
      <c r="C46" s="453"/>
      <c r="D46" s="453"/>
      <c r="E46" s="453"/>
      <c r="F46" s="453"/>
      <c r="G46" s="453"/>
      <c r="H46" s="10" t="s">
        <v>67</v>
      </c>
      <c r="I46" s="10" t="s">
        <v>80</v>
      </c>
      <c r="J46" s="10" t="s">
        <v>67</v>
      </c>
      <c r="K46" s="10" t="s">
        <v>81</v>
      </c>
      <c r="L46" s="10"/>
    </row>
    <row r="47" spans="1:34" x14ac:dyDescent="0.2">
      <c r="A47" s="122">
        <v>1</v>
      </c>
      <c r="B47" s="122">
        <v>2</v>
      </c>
      <c r="C47" s="122">
        <v>3</v>
      </c>
      <c r="D47" s="122">
        <v>4</v>
      </c>
      <c r="E47" s="122">
        <v>5</v>
      </c>
      <c r="F47" s="122">
        <v>6</v>
      </c>
      <c r="G47" s="122">
        <v>7</v>
      </c>
      <c r="H47" s="122">
        <v>8</v>
      </c>
      <c r="I47" s="122">
        <v>9</v>
      </c>
      <c r="J47" s="122">
        <v>10</v>
      </c>
      <c r="K47" s="122">
        <v>11</v>
      </c>
      <c r="L47" s="122">
        <v>12</v>
      </c>
    </row>
    <row r="48" spans="1:34" ht="24" customHeight="1" x14ac:dyDescent="0.2">
      <c r="A48" s="10" t="s">
        <v>116</v>
      </c>
      <c r="B48" s="10" t="s">
        <v>10</v>
      </c>
      <c r="C48" s="102">
        <v>3</v>
      </c>
      <c r="D48" s="102">
        <f>ROUND(E48+F48+G48+I48+K48,2)</f>
        <v>60094.17</v>
      </c>
      <c r="E48" s="102">
        <v>19517</v>
      </c>
      <c r="F48" s="102">
        <v>2091.1</v>
      </c>
      <c r="G48" s="102">
        <v>15950.754166666664</v>
      </c>
      <c r="H48" s="235">
        <v>30</v>
      </c>
      <c r="I48" s="102">
        <f>(E48+F48+G48)*H48/100</f>
        <v>11267.65625</v>
      </c>
      <c r="J48" s="235">
        <v>30</v>
      </c>
      <c r="K48" s="102">
        <f>(E48+F48+G48)*J48/100</f>
        <v>11267.65625</v>
      </c>
      <c r="L48" s="102">
        <f>ROUND(C48*D48*12,0)</f>
        <v>2163390</v>
      </c>
      <c r="M48" s="15"/>
    </row>
    <row r="49" spans="1:49" ht="38.25" customHeight="1" x14ac:dyDescent="0.2">
      <c r="A49" s="10" t="s">
        <v>117</v>
      </c>
      <c r="B49" s="10" t="s">
        <v>11</v>
      </c>
      <c r="C49" s="102">
        <v>4.75</v>
      </c>
      <c r="D49" s="102">
        <f>ROUND(E49+F49+G49+I49+K49,2)</f>
        <v>30000</v>
      </c>
      <c r="E49" s="102">
        <v>4755.6315789473683</v>
      </c>
      <c r="F49" s="102">
        <v>0</v>
      </c>
      <c r="G49" s="102">
        <v>13994.368421052632</v>
      </c>
      <c r="H49" s="235">
        <v>30</v>
      </c>
      <c r="I49" s="102">
        <f t="shared" ref="I49" si="6">(E49+F49+G49)*H49/100</f>
        <v>5625</v>
      </c>
      <c r="J49" s="235">
        <v>30</v>
      </c>
      <c r="K49" s="102">
        <f t="shared" ref="K49" si="7">(E49+F49+G49)*J49/100</f>
        <v>5625</v>
      </c>
      <c r="L49" s="102">
        <f>ROUND(C49*D49*12,0)</f>
        <v>1710000</v>
      </c>
      <c r="M49" s="15"/>
    </row>
    <row r="50" spans="1:49" ht="38.25" x14ac:dyDescent="0.2">
      <c r="A50" s="340" t="s">
        <v>576</v>
      </c>
      <c r="B50" s="10"/>
      <c r="C50" s="102">
        <v>1.5</v>
      </c>
      <c r="D50" s="102">
        <f>ROUND(E50+F50+G50+I50+K50,2)</f>
        <v>33000</v>
      </c>
      <c r="E50" s="102">
        <v>8957</v>
      </c>
      <c r="F50" s="102">
        <v>0</v>
      </c>
      <c r="G50" s="102">
        <v>11668</v>
      </c>
      <c r="H50" s="235">
        <v>30</v>
      </c>
      <c r="I50" s="102">
        <f t="shared" ref="I50" si="8">(E50+F50+G50)*H50/100</f>
        <v>6187.5</v>
      </c>
      <c r="J50" s="235">
        <v>30</v>
      </c>
      <c r="K50" s="102">
        <f t="shared" ref="K50" si="9">(E50+F50+G50)*J50/100</f>
        <v>6187.5</v>
      </c>
      <c r="L50" s="102">
        <f>ROUND(C50*D50*12,0)</f>
        <v>594000</v>
      </c>
      <c r="M50" s="88"/>
    </row>
    <row r="51" spans="1:49" x14ac:dyDescent="0.2">
      <c r="A51" s="16" t="s">
        <v>71</v>
      </c>
      <c r="B51" s="16" t="s">
        <v>72</v>
      </c>
      <c r="C51" s="102" t="s">
        <v>14</v>
      </c>
      <c r="D51" s="102">
        <f>SUM(D48:D50)</f>
        <v>123094.17</v>
      </c>
      <c r="E51" s="102">
        <f>SUM(E48:E50)</f>
        <v>33229.631578947367</v>
      </c>
      <c r="F51" s="102">
        <f>SUM(F48:F50)</f>
        <v>2091.1</v>
      </c>
      <c r="G51" s="102">
        <f>SUM(G48:G50)</f>
        <v>41613.122587719292</v>
      </c>
      <c r="H51" s="102"/>
      <c r="I51" s="102">
        <f>SUM(I48:I50)</f>
        <v>23080.15625</v>
      </c>
      <c r="J51" s="102"/>
      <c r="K51" s="102">
        <f>SUM(K48:K50)</f>
        <v>23080.15625</v>
      </c>
      <c r="L51" s="102">
        <f>SUM(L48:L50)</f>
        <v>4467390</v>
      </c>
      <c r="M51" s="15">
        <v>4467390</v>
      </c>
      <c r="N51" s="15">
        <f>M51-L51</f>
        <v>0</v>
      </c>
    </row>
    <row r="52" spans="1:49" x14ac:dyDescent="0.2">
      <c r="A52" s="9"/>
      <c r="B52" s="9"/>
      <c r="C52" s="9"/>
      <c r="D52" s="9"/>
      <c r="E52" s="9"/>
      <c r="F52" s="9"/>
      <c r="G52" s="9"/>
      <c r="H52" s="9"/>
      <c r="I52" s="9"/>
      <c r="J52" s="9"/>
      <c r="K52" s="9"/>
      <c r="L52" s="9"/>
      <c r="M52" s="9"/>
      <c r="N52" s="21"/>
      <c r="O52" s="21"/>
      <c r="P52" s="21"/>
      <c r="Q52" s="21"/>
      <c r="R52" s="21"/>
      <c r="S52" s="21"/>
      <c r="T52" s="21"/>
      <c r="U52" s="21"/>
      <c r="V52" s="21"/>
      <c r="W52" s="21"/>
      <c r="X52" s="21"/>
      <c r="Y52" s="21"/>
      <c r="Z52" s="21"/>
      <c r="AA52" s="21"/>
      <c r="AB52" s="21"/>
      <c r="AC52" s="21"/>
      <c r="AD52" s="21"/>
      <c r="AE52" s="21"/>
      <c r="AF52" s="21"/>
      <c r="AG52" s="21"/>
      <c r="AH52" s="21"/>
    </row>
    <row r="53" spans="1:49" ht="23.25" customHeight="1" x14ac:dyDescent="0.2">
      <c r="A53" s="5" t="s">
        <v>82</v>
      </c>
      <c r="B53" s="5"/>
      <c r="C53" s="5"/>
      <c r="D53" s="5"/>
      <c r="E53" s="5"/>
      <c r="F53" s="5"/>
      <c r="G53" s="5"/>
      <c r="H53" s="5"/>
      <c r="I53" s="5"/>
      <c r="J53" s="5"/>
      <c r="K53" s="5"/>
      <c r="L53" s="5"/>
      <c r="M53" s="5"/>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row>
    <row r="54" spans="1:49" ht="31.9" customHeight="1" x14ac:dyDescent="0.2">
      <c r="A54" s="5" t="s">
        <v>83</v>
      </c>
      <c r="B54" s="5"/>
      <c r="C54" s="5"/>
      <c r="D54" s="5"/>
      <c r="E54" s="5"/>
      <c r="F54" s="5"/>
      <c r="G54" s="5"/>
      <c r="H54" s="5"/>
      <c r="I54" s="5"/>
      <c r="J54" s="5"/>
      <c r="K54" s="5"/>
      <c r="L54" s="5"/>
      <c r="M54" s="5"/>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row>
    <row r="55" spans="1:49" ht="13.5" customHeight="1" x14ac:dyDescent="0.2">
      <c r="A55" s="9"/>
      <c r="B55" s="9"/>
      <c r="C55" s="9"/>
      <c r="D55" s="9"/>
      <c r="E55" s="9"/>
      <c r="F55" s="9"/>
      <c r="G55" s="9"/>
      <c r="H55" s="9"/>
      <c r="I55" s="9"/>
      <c r="J55" s="9"/>
      <c r="K55" s="9"/>
      <c r="L55" s="9"/>
      <c r="M55" s="9"/>
      <c r="N55" s="21"/>
      <c r="O55" s="21"/>
      <c r="P55" s="21"/>
      <c r="Q55" s="21"/>
      <c r="R55" s="21"/>
      <c r="S55" s="21"/>
      <c r="T55" s="21"/>
      <c r="U55" s="21"/>
      <c r="V55" s="21"/>
      <c r="W55" s="21"/>
      <c r="X55" s="21"/>
      <c r="Y55" s="21"/>
      <c r="Z55" s="21"/>
      <c r="AA55" s="21"/>
      <c r="AB55" s="21"/>
      <c r="AC55" s="21"/>
      <c r="AD55" s="21"/>
      <c r="AE55" s="21"/>
      <c r="AF55" s="21"/>
      <c r="AG55" s="21"/>
      <c r="AH55" s="21"/>
    </row>
    <row r="56" spans="1:49" ht="12.75" customHeight="1" x14ac:dyDescent="0.2">
      <c r="A56" s="453" t="s">
        <v>36</v>
      </c>
      <c r="B56" s="453" t="s">
        <v>2</v>
      </c>
      <c r="C56" s="453" t="s">
        <v>21</v>
      </c>
      <c r="D56" s="453"/>
      <c r="E56" s="453"/>
      <c r="F56" s="9"/>
      <c r="G56" s="9"/>
      <c r="H56" s="9"/>
      <c r="I56" s="9"/>
      <c r="J56" s="9"/>
      <c r="K56" s="9"/>
    </row>
    <row r="57" spans="1:49" ht="12" customHeight="1" x14ac:dyDescent="0.2">
      <c r="A57" s="453"/>
      <c r="B57" s="453"/>
      <c r="C57" s="272" t="s">
        <v>477</v>
      </c>
      <c r="D57" s="272" t="s">
        <v>552</v>
      </c>
      <c r="E57" s="272" t="s">
        <v>579</v>
      </c>
      <c r="F57" s="9"/>
      <c r="G57" s="9"/>
      <c r="H57" s="9"/>
      <c r="I57" s="9"/>
      <c r="J57" s="9"/>
      <c r="K57" s="9"/>
    </row>
    <row r="58" spans="1:49" ht="10.15" customHeight="1" x14ac:dyDescent="0.2">
      <c r="A58" s="453"/>
      <c r="B58" s="453"/>
      <c r="C58" s="453" t="s">
        <v>37</v>
      </c>
      <c r="D58" s="453" t="s">
        <v>38</v>
      </c>
      <c r="E58" s="453" t="s">
        <v>39</v>
      </c>
      <c r="F58" s="9"/>
      <c r="G58" s="9"/>
      <c r="H58" s="9"/>
      <c r="I58" s="9"/>
      <c r="J58" s="9"/>
      <c r="K58" s="9"/>
    </row>
    <row r="59" spans="1:49" ht="18.600000000000001" customHeight="1" x14ac:dyDescent="0.2">
      <c r="A59" s="453"/>
      <c r="B59" s="453"/>
      <c r="C59" s="453"/>
      <c r="D59" s="453"/>
      <c r="E59" s="453"/>
      <c r="F59" s="9"/>
      <c r="G59" s="9"/>
      <c r="H59" s="9"/>
      <c r="I59" s="9"/>
      <c r="J59" s="9"/>
      <c r="K59" s="9"/>
    </row>
    <row r="60" spans="1:49" ht="10.15" customHeight="1" x14ac:dyDescent="0.2">
      <c r="A60" s="122">
        <v>1</v>
      </c>
      <c r="B60" s="122">
        <v>2</v>
      </c>
      <c r="C60" s="122" t="s">
        <v>40</v>
      </c>
      <c r="D60" s="122" t="s">
        <v>41</v>
      </c>
      <c r="E60" s="122" t="s">
        <v>42</v>
      </c>
      <c r="F60" s="9"/>
      <c r="G60" s="9"/>
      <c r="H60" s="9"/>
      <c r="I60" s="9"/>
      <c r="J60" s="9"/>
      <c r="K60" s="9"/>
    </row>
    <row r="61" spans="1:49" ht="38.25" x14ac:dyDescent="0.2">
      <c r="A61" s="10" t="s">
        <v>84</v>
      </c>
      <c r="B61" s="10" t="s">
        <v>44</v>
      </c>
      <c r="C61" s="10"/>
      <c r="D61" s="10"/>
      <c r="E61" s="10"/>
      <c r="F61" s="9"/>
      <c r="G61" s="9"/>
      <c r="H61" s="9"/>
      <c r="I61" s="9"/>
      <c r="J61" s="9"/>
      <c r="K61" s="9"/>
    </row>
    <row r="62" spans="1:49" ht="51" x14ac:dyDescent="0.2">
      <c r="A62" s="10" t="s">
        <v>85</v>
      </c>
      <c r="B62" s="10" t="s">
        <v>46</v>
      </c>
      <c r="C62" s="10"/>
      <c r="D62" s="10"/>
      <c r="E62" s="10"/>
      <c r="F62" s="9"/>
      <c r="G62" s="9"/>
      <c r="H62" s="9"/>
      <c r="I62" s="9"/>
      <c r="J62" s="9"/>
      <c r="K62" s="9"/>
    </row>
    <row r="63" spans="1:49" ht="25.5" x14ac:dyDescent="0.2">
      <c r="A63" s="10" t="s">
        <v>86</v>
      </c>
      <c r="B63" s="10" t="s">
        <v>48</v>
      </c>
      <c r="C63" s="16">
        <f>F88</f>
        <v>1186411.29</v>
      </c>
      <c r="D63" s="16">
        <f>G88</f>
        <v>1349150</v>
      </c>
      <c r="E63" s="16">
        <f>H88</f>
        <v>1349150</v>
      </c>
      <c r="F63" s="9"/>
      <c r="G63" s="9"/>
      <c r="H63" s="9"/>
      <c r="I63" s="9"/>
      <c r="J63" s="9"/>
      <c r="K63" s="9"/>
    </row>
    <row r="64" spans="1:49" ht="38.25" x14ac:dyDescent="0.2">
      <c r="A64" s="10" t="s">
        <v>87</v>
      </c>
      <c r="B64" s="10" t="s">
        <v>50</v>
      </c>
      <c r="C64" s="10"/>
      <c r="D64" s="10"/>
      <c r="E64" s="10"/>
      <c r="F64" s="9"/>
      <c r="G64" s="9"/>
      <c r="H64" s="9"/>
      <c r="I64" s="9"/>
      <c r="J64" s="9"/>
      <c r="K64" s="9"/>
    </row>
    <row r="65" spans="1:49" ht="51" x14ac:dyDescent="0.2">
      <c r="A65" s="10" t="s">
        <v>88</v>
      </c>
      <c r="B65" s="10" t="s">
        <v>52</v>
      </c>
      <c r="C65" s="10"/>
      <c r="D65" s="10"/>
      <c r="E65" s="10"/>
      <c r="F65" s="9"/>
      <c r="G65" s="9"/>
      <c r="H65" s="9"/>
      <c r="I65" s="9"/>
      <c r="J65" s="9"/>
      <c r="K65" s="9"/>
    </row>
    <row r="66" spans="1:49" ht="51" x14ac:dyDescent="0.2">
      <c r="A66" s="10" t="s">
        <v>89</v>
      </c>
      <c r="B66" s="10" t="s">
        <v>54</v>
      </c>
      <c r="C66" s="10">
        <f>C61-C62+C63-C64+C65</f>
        <v>1186411.29</v>
      </c>
      <c r="D66" s="10">
        <f>D61-D62+D63-D64+D65</f>
        <v>1349150</v>
      </c>
      <c r="E66" s="10">
        <f>E61-E62+E63-E64+E65</f>
        <v>1349150</v>
      </c>
      <c r="F66" s="9"/>
      <c r="G66" s="9"/>
      <c r="H66" s="9"/>
      <c r="I66" s="9"/>
      <c r="J66" s="9"/>
      <c r="K66" s="9"/>
    </row>
    <row r="67" spans="1:49" x14ac:dyDescent="0.2">
      <c r="A67" s="9"/>
      <c r="B67" s="9"/>
      <c r="C67" s="9"/>
      <c r="D67" s="9"/>
      <c r="E67" s="9"/>
      <c r="F67" s="9"/>
      <c r="G67" s="9"/>
      <c r="H67" s="9"/>
      <c r="I67" s="9"/>
      <c r="J67" s="9"/>
      <c r="K67" s="9"/>
      <c r="L67" s="9"/>
      <c r="M67" s="9"/>
      <c r="N67" s="21"/>
      <c r="O67" s="21"/>
      <c r="P67" s="21"/>
      <c r="Q67" s="21"/>
      <c r="R67" s="21"/>
      <c r="S67" s="21"/>
      <c r="T67" s="21"/>
      <c r="U67" s="21"/>
      <c r="V67" s="21"/>
      <c r="W67" s="21"/>
      <c r="X67" s="21"/>
      <c r="Y67" s="21"/>
      <c r="Z67" s="21"/>
      <c r="AA67" s="21"/>
      <c r="AB67" s="21"/>
      <c r="AC67" s="21"/>
      <c r="AD67" s="21"/>
      <c r="AE67" s="21"/>
      <c r="AF67" s="21"/>
      <c r="AG67" s="21"/>
      <c r="AH67" s="21"/>
    </row>
    <row r="68" spans="1:49" ht="30.75" customHeight="1" x14ac:dyDescent="0.2">
      <c r="A68" s="5" t="s">
        <v>90</v>
      </c>
      <c r="B68" s="5"/>
      <c r="C68" s="5"/>
      <c r="D68" s="5"/>
      <c r="E68" s="5"/>
      <c r="F68" s="5"/>
      <c r="G68" s="5"/>
      <c r="H68" s="5"/>
      <c r="I68" s="5"/>
      <c r="J68" s="5"/>
      <c r="K68" s="5"/>
      <c r="L68" s="5"/>
      <c r="M68" s="5"/>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row>
    <row r="69" spans="1:49" ht="25.5" customHeight="1" x14ac:dyDescent="0.2">
      <c r="A69" s="10" t="s">
        <v>91</v>
      </c>
      <c r="B69" s="10" t="s">
        <v>2</v>
      </c>
      <c r="C69" s="453" t="s">
        <v>92</v>
      </c>
      <c r="D69" s="453"/>
      <c r="E69" s="453"/>
      <c r="F69" s="453" t="s">
        <v>93</v>
      </c>
      <c r="G69" s="453"/>
      <c r="H69" s="453"/>
      <c r="I69" s="9"/>
      <c r="J69" s="9"/>
      <c r="K69" s="9"/>
      <c r="L69" s="9"/>
      <c r="M69" s="9"/>
      <c r="N69" s="21"/>
      <c r="O69" s="21"/>
      <c r="P69" s="21"/>
      <c r="Q69" s="21"/>
      <c r="R69" s="21"/>
      <c r="S69" s="21"/>
      <c r="T69" s="21"/>
      <c r="U69" s="21"/>
      <c r="V69" s="21"/>
      <c r="W69" s="21"/>
    </row>
    <row r="70" spans="1:49" x14ac:dyDescent="0.2">
      <c r="A70" s="10"/>
      <c r="B70" s="10"/>
      <c r="C70" s="272" t="s">
        <v>477</v>
      </c>
      <c r="D70" s="272" t="s">
        <v>552</v>
      </c>
      <c r="E70" s="272" t="s">
        <v>579</v>
      </c>
      <c r="F70" s="272" t="s">
        <v>477</v>
      </c>
      <c r="G70" s="272" t="s">
        <v>552</v>
      </c>
      <c r="H70" s="272" t="s">
        <v>579</v>
      </c>
    </row>
    <row r="71" spans="1:49" ht="38.25" customHeight="1" x14ac:dyDescent="0.2">
      <c r="A71" s="10"/>
      <c r="B71" s="10"/>
      <c r="C71" s="10" t="s">
        <v>3</v>
      </c>
      <c r="D71" s="10" t="s">
        <v>4</v>
      </c>
      <c r="E71" s="10" t="s">
        <v>5</v>
      </c>
      <c r="F71" s="10" t="s">
        <v>3</v>
      </c>
      <c r="G71" s="10" t="s">
        <v>4</v>
      </c>
      <c r="H71" s="10" t="s">
        <v>5</v>
      </c>
    </row>
    <row r="72" spans="1:49" x14ac:dyDescent="0.2">
      <c r="A72" s="122">
        <v>1</v>
      </c>
      <c r="B72" s="122">
        <v>2</v>
      </c>
      <c r="C72" s="122">
        <v>3</v>
      </c>
      <c r="D72" s="122">
        <v>4</v>
      </c>
      <c r="E72" s="122">
        <v>5</v>
      </c>
      <c r="F72" s="122">
        <v>6</v>
      </c>
      <c r="G72" s="122">
        <v>7</v>
      </c>
      <c r="H72" s="122">
        <v>8</v>
      </c>
    </row>
    <row r="73" spans="1:49" ht="38.25" x14ac:dyDescent="0.2">
      <c r="A73" s="10" t="s">
        <v>95</v>
      </c>
      <c r="B73" s="230" t="s">
        <v>44</v>
      </c>
      <c r="C73" s="230"/>
      <c r="D73" s="230"/>
      <c r="E73" s="230"/>
      <c r="F73" s="16"/>
      <c r="G73" s="16"/>
      <c r="H73" s="16"/>
    </row>
    <row r="74" spans="1:49" ht="12" customHeight="1" x14ac:dyDescent="0.2">
      <c r="A74" s="10" t="s">
        <v>61</v>
      </c>
      <c r="B74" s="649" t="s">
        <v>96</v>
      </c>
      <c r="C74" s="647">
        <f>$L$27</f>
        <v>3928529.51</v>
      </c>
      <c r="D74" s="647">
        <f>$L$39</f>
        <v>4467390</v>
      </c>
      <c r="E74" s="647">
        <f>$L$51</f>
        <v>4467390</v>
      </c>
      <c r="F74" s="654">
        <f>ROUND(C74*22%,0)-3.71</f>
        <v>864272.29</v>
      </c>
      <c r="G74" s="654">
        <f>ROUND(D74*22%,0)-2</f>
        <v>982824</v>
      </c>
      <c r="H74" s="654">
        <f>ROUND(E74*22%,0)-2</f>
        <v>982824</v>
      </c>
    </row>
    <row r="75" spans="1:49" ht="13.5" customHeight="1" x14ac:dyDescent="0.2">
      <c r="A75" s="10" t="s">
        <v>97</v>
      </c>
      <c r="B75" s="650"/>
      <c r="C75" s="648"/>
      <c r="D75" s="648"/>
      <c r="E75" s="648"/>
      <c r="F75" s="655"/>
      <c r="G75" s="655"/>
      <c r="H75" s="655"/>
    </row>
    <row r="76" spans="1:49" ht="13.5" customHeight="1" x14ac:dyDescent="0.2">
      <c r="A76" s="10" t="s">
        <v>98</v>
      </c>
      <c r="B76" s="230" t="s">
        <v>99</v>
      </c>
      <c r="C76" s="16"/>
      <c r="D76" s="16"/>
      <c r="E76" s="16"/>
      <c r="F76" s="16"/>
      <c r="G76" s="16"/>
      <c r="H76" s="16"/>
    </row>
    <row r="77" spans="1:49" ht="51" x14ac:dyDescent="0.2">
      <c r="A77" s="10" t="s">
        <v>100</v>
      </c>
      <c r="B77" s="230" t="s">
        <v>101</v>
      </c>
      <c r="C77" s="16"/>
      <c r="D77" s="16"/>
      <c r="E77" s="16"/>
      <c r="F77" s="16"/>
      <c r="G77" s="16"/>
      <c r="H77" s="16"/>
    </row>
    <row r="78" spans="1:49" ht="27" customHeight="1" x14ac:dyDescent="0.2">
      <c r="A78" s="10" t="s">
        <v>102</v>
      </c>
      <c r="B78" s="230" t="s">
        <v>46</v>
      </c>
      <c r="C78" s="16"/>
      <c r="D78" s="16"/>
      <c r="E78" s="16"/>
      <c r="F78" s="16"/>
      <c r="G78" s="16"/>
      <c r="H78" s="16"/>
    </row>
    <row r="79" spans="1:49" ht="13.15" customHeight="1" x14ac:dyDescent="0.2">
      <c r="A79" s="10" t="s">
        <v>61</v>
      </c>
      <c r="B79" s="649" t="s">
        <v>103</v>
      </c>
      <c r="C79" s="647">
        <f>C74</f>
        <v>3928529.51</v>
      </c>
      <c r="D79" s="647">
        <f>D74</f>
        <v>4467390</v>
      </c>
      <c r="E79" s="647">
        <f>E74</f>
        <v>4467390</v>
      </c>
      <c r="F79" s="654">
        <f>ROUND(C79*2.9%,0)</f>
        <v>113927</v>
      </c>
      <c r="G79" s="654">
        <f t="shared" ref="G79:H79" si="10">ROUND(D79*2.9%,0)</f>
        <v>129554</v>
      </c>
      <c r="H79" s="654">
        <f t="shared" si="10"/>
        <v>129554</v>
      </c>
    </row>
    <row r="80" spans="1:49" ht="51" x14ac:dyDescent="0.2">
      <c r="A80" s="10" t="s">
        <v>104</v>
      </c>
      <c r="B80" s="650"/>
      <c r="C80" s="648"/>
      <c r="D80" s="648"/>
      <c r="E80" s="648"/>
      <c r="F80" s="655"/>
      <c r="G80" s="655"/>
      <c r="H80" s="655"/>
    </row>
    <row r="81" spans="1:62" ht="51" x14ac:dyDescent="0.2">
      <c r="A81" s="10" t="s">
        <v>105</v>
      </c>
      <c r="B81" s="230" t="s">
        <v>106</v>
      </c>
      <c r="C81" s="16"/>
      <c r="D81" s="16"/>
      <c r="E81" s="16"/>
      <c r="F81" s="16"/>
      <c r="G81" s="16"/>
      <c r="H81" s="16"/>
    </row>
    <row r="82" spans="1:62" ht="63.75" x14ac:dyDescent="0.2">
      <c r="A82" s="10" t="s">
        <v>107</v>
      </c>
      <c r="B82" s="230" t="s">
        <v>108</v>
      </c>
      <c r="C82" s="16">
        <f>C74</f>
        <v>3928529.51</v>
      </c>
      <c r="D82" s="16">
        <f>D74</f>
        <v>4467390</v>
      </c>
      <c r="E82" s="16">
        <f>E74</f>
        <v>4467390</v>
      </c>
      <c r="F82" s="16">
        <f>ROUND(C82*0.2%,0)</f>
        <v>7857</v>
      </c>
      <c r="G82" s="84">
        <f t="shared" ref="G82:H82" si="11">ROUND(D82*0.2%,0)</f>
        <v>8935</v>
      </c>
      <c r="H82" s="84">
        <f t="shared" si="11"/>
        <v>8935</v>
      </c>
    </row>
    <row r="83" spans="1:62" ht="63.75" x14ac:dyDescent="0.2">
      <c r="A83" s="10" t="s">
        <v>109</v>
      </c>
      <c r="B83" s="230" t="s">
        <v>110</v>
      </c>
      <c r="C83" s="16"/>
      <c r="D83" s="16"/>
      <c r="E83" s="16"/>
      <c r="F83" s="16"/>
      <c r="G83" s="16"/>
      <c r="H83" s="16"/>
    </row>
    <row r="84" spans="1:62" ht="63.75" x14ac:dyDescent="0.2">
      <c r="A84" s="10" t="s">
        <v>111</v>
      </c>
      <c r="B84" s="230"/>
      <c r="C84" s="16"/>
      <c r="D84" s="16"/>
      <c r="E84" s="16"/>
      <c r="F84" s="16"/>
      <c r="G84" s="16"/>
      <c r="H84" s="16"/>
    </row>
    <row r="85" spans="1:62" ht="51" x14ac:dyDescent="0.2">
      <c r="A85" s="10" t="s">
        <v>112</v>
      </c>
      <c r="B85" s="230" t="s">
        <v>48</v>
      </c>
      <c r="C85" s="16"/>
      <c r="D85" s="16"/>
      <c r="E85" s="16"/>
      <c r="F85" s="16"/>
      <c r="G85" s="16"/>
      <c r="H85" s="16"/>
    </row>
    <row r="86" spans="1:62" x14ac:dyDescent="0.2">
      <c r="A86" s="10" t="s">
        <v>61</v>
      </c>
      <c r="B86" s="649" t="s">
        <v>113</v>
      </c>
      <c r="C86" s="647">
        <f>C74</f>
        <v>3928529.51</v>
      </c>
      <c r="D86" s="647">
        <f>D74</f>
        <v>4467390</v>
      </c>
      <c r="E86" s="647">
        <f>E74</f>
        <v>4467390</v>
      </c>
      <c r="F86" s="654">
        <f>ROUND(C86*5.1%,0)</f>
        <v>200355</v>
      </c>
      <c r="G86" s="654">
        <f t="shared" ref="G86:H86" si="12">ROUND(D86*5.1%,0)</f>
        <v>227837</v>
      </c>
      <c r="H86" s="654">
        <f t="shared" si="12"/>
        <v>227837</v>
      </c>
    </row>
    <row r="87" spans="1:62" ht="24.75" customHeight="1" x14ac:dyDescent="0.2">
      <c r="A87" s="10" t="s">
        <v>114</v>
      </c>
      <c r="B87" s="650"/>
      <c r="C87" s="648"/>
      <c r="D87" s="648"/>
      <c r="E87" s="648"/>
      <c r="F87" s="655"/>
      <c r="G87" s="655"/>
      <c r="H87" s="655"/>
    </row>
    <row r="88" spans="1:62" x14ac:dyDescent="0.2">
      <c r="A88" s="16" t="s">
        <v>71</v>
      </c>
      <c r="B88" s="16" t="s">
        <v>72</v>
      </c>
      <c r="C88" s="16" t="s">
        <v>14</v>
      </c>
      <c r="D88" s="16" t="s">
        <v>14</v>
      </c>
      <c r="E88" s="16" t="s">
        <v>14</v>
      </c>
      <c r="F88" s="16">
        <f>SUM(F73:F87)</f>
        <v>1186411.29</v>
      </c>
      <c r="G88" s="16">
        <f>SUM(G73:G87)</f>
        <v>1349150</v>
      </c>
      <c r="H88" s="16">
        <f>SUM(H73:H87)</f>
        <v>1349150</v>
      </c>
      <c r="I88" s="15"/>
      <c r="J88" s="15"/>
      <c r="M88" s="221">
        <v>1186411.29</v>
      </c>
      <c r="N88" s="15">
        <f>M88-F88</f>
        <v>0</v>
      </c>
      <c r="O88" s="15">
        <v>1349150</v>
      </c>
      <c r="P88" s="15">
        <f>O88-G88</f>
        <v>0</v>
      </c>
      <c r="Q88" s="15">
        <v>1349150</v>
      </c>
      <c r="R88" s="15">
        <f>Q88-H88</f>
        <v>0</v>
      </c>
    </row>
    <row r="89" spans="1:62" ht="24.75" customHeight="1" x14ac:dyDescent="0.2">
      <c r="A89" s="646" t="s">
        <v>115</v>
      </c>
      <c r="B89" s="646"/>
      <c r="C89" s="646"/>
      <c r="D89" s="646"/>
      <c r="E89" s="646"/>
      <c r="F89" s="646"/>
      <c r="G89" s="646"/>
      <c r="H89" s="646"/>
      <c r="I89" s="646"/>
      <c r="J89" s="646"/>
      <c r="K89" s="646"/>
      <c r="L89" s="646"/>
    </row>
    <row r="91" spans="1:62" s="156" customFormat="1" ht="23.25" customHeight="1" x14ac:dyDescent="0.2">
      <c r="A91" s="78" t="s">
        <v>562</v>
      </c>
      <c r="B91" s="78"/>
      <c r="C91" s="78"/>
      <c r="D91" s="78"/>
      <c r="E91" s="78"/>
      <c r="F91" s="78"/>
      <c r="G91" s="78"/>
      <c r="H91" s="78"/>
      <c r="I91" s="78"/>
      <c r="J91" s="78"/>
      <c r="K91" s="78"/>
      <c r="L91" s="78"/>
      <c r="M91" s="237"/>
      <c r="N91" s="237"/>
      <c r="O91" s="237"/>
      <c r="P91" s="237"/>
      <c r="Q91" s="237"/>
      <c r="R91" s="237"/>
      <c r="S91" s="237"/>
      <c r="T91" s="237"/>
      <c r="U91" s="237"/>
      <c r="V91" s="237"/>
      <c r="W91" s="237"/>
      <c r="X91" s="237"/>
      <c r="Y91" s="237"/>
      <c r="Z91" s="237"/>
      <c r="AA91" s="237"/>
      <c r="AB91" s="238"/>
      <c r="AC91" s="238"/>
      <c r="AD91" s="238"/>
      <c r="AE91" s="238"/>
      <c r="AF91" s="238"/>
      <c r="AG91" s="238"/>
      <c r="AH91" s="238"/>
      <c r="AI91" s="238"/>
      <c r="AJ91" s="238"/>
      <c r="AK91" s="238"/>
      <c r="AL91" s="238"/>
      <c r="AM91" s="238"/>
      <c r="AN91" s="238"/>
      <c r="AO91" s="238"/>
      <c r="AP91" s="238"/>
      <c r="AQ91" s="238"/>
      <c r="AR91" s="238"/>
      <c r="AS91" s="238"/>
      <c r="AT91" s="238"/>
      <c r="AU91" s="238"/>
      <c r="AV91" s="238"/>
      <c r="AW91" s="238"/>
      <c r="AX91" s="238"/>
      <c r="AY91" s="238"/>
      <c r="AZ91" s="238"/>
      <c r="BA91" s="238"/>
      <c r="BB91" s="238"/>
      <c r="BC91" s="238"/>
      <c r="BD91" s="238"/>
      <c r="BE91" s="238"/>
      <c r="BF91" s="238"/>
      <c r="BG91" s="238"/>
      <c r="BH91" s="238"/>
      <c r="BI91" s="238"/>
      <c r="BJ91" s="238"/>
    </row>
    <row r="92" spans="1:62" s="156" customFormat="1" ht="31.9" customHeight="1" x14ac:dyDescent="0.2">
      <c r="A92" s="78" t="s">
        <v>563</v>
      </c>
      <c r="B92" s="78"/>
      <c r="C92" s="78"/>
      <c r="D92" s="78"/>
      <c r="E92" s="78"/>
      <c r="F92" s="78"/>
      <c r="G92" s="78"/>
      <c r="H92" s="78"/>
      <c r="I92" s="78"/>
      <c r="J92" s="78"/>
      <c r="K92" s="78"/>
      <c r="L92" s="78"/>
      <c r="M92" s="78"/>
      <c r="N92" s="237"/>
      <c r="O92" s="237"/>
      <c r="P92" s="237"/>
      <c r="Q92" s="237"/>
      <c r="R92" s="237"/>
      <c r="S92" s="237"/>
      <c r="T92" s="237"/>
      <c r="U92" s="237"/>
      <c r="V92" s="237"/>
      <c r="W92" s="237"/>
      <c r="X92" s="237"/>
      <c r="Y92" s="237"/>
      <c r="Z92" s="237"/>
      <c r="AA92" s="237"/>
      <c r="AB92" s="238"/>
      <c r="AC92" s="238"/>
      <c r="AD92" s="238"/>
      <c r="AE92" s="238"/>
      <c r="AF92" s="238"/>
      <c r="AG92" s="238"/>
      <c r="AH92" s="238"/>
      <c r="AI92" s="238"/>
      <c r="AJ92" s="238"/>
      <c r="AK92" s="238"/>
      <c r="AL92" s="238"/>
      <c r="AM92" s="238"/>
      <c r="AN92" s="238"/>
      <c r="AO92" s="238"/>
      <c r="AP92" s="238"/>
      <c r="AQ92" s="238"/>
      <c r="AR92" s="238"/>
      <c r="AS92" s="238"/>
      <c r="AT92" s="238"/>
      <c r="AU92" s="238"/>
      <c r="AV92" s="238"/>
      <c r="AW92" s="238"/>
      <c r="AX92" s="238"/>
      <c r="AY92" s="238"/>
      <c r="AZ92" s="238"/>
      <c r="BA92" s="238"/>
      <c r="BB92" s="238"/>
      <c r="BC92" s="238"/>
      <c r="BD92" s="238"/>
      <c r="BE92" s="238"/>
      <c r="BF92" s="238"/>
      <c r="BG92" s="238"/>
      <c r="BH92" s="238"/>
      <c r="BI92" s="238"/>
      <c r="BJ92" s="238"/>
    </row>
    <row r="93" spans="1:62" s="156" customFormat="1" ht="13.5" customHeight="1" x14ac:dyDescent="0.2">
      <c r="N93" s="238"/>
      <c r="O93" s="238"/>
      <c r="P93" s="238"/>
      <c r="Q93" s="238"/>
      <c r="R93" s="238"/>
      <c r="S93" s="238"/>
      <c r="T93" s="238"/>
      <c r="U93" s="238"/>
      <c r="V93" s="238"/>
      <c r="W93" s="238"/>
      <c r="X93" s="238"/>
      <c r="Y93" s="238"/>
      <c r="Z93" s="238"/>
      <c r="AA93" s="238"/>
      <c r="AB93" s="238"/>
      <c r="AC93" s="238"/>
      <c r="AD93" s="238"/>
      <c r="AE93" s="238"/>
      <c r="AF93" s="238"/>
      <c r="AG93" s="238"/>
      <c r="AH93" s="238"/>
      <c r="AI93" s="238"/>
      <c r="AJ93" s="238"/>
      <c r="AK93" s="238"/>
      <c r="AL93" s="238"/>
      <c r="AM93" s="238"/>
      <c r="AN93" s="238"/>
      <c r="AO93" s="238"/>
      <c r="AP93" s="238"/>
      <c r="AQ93" s="238"/>
      <c r="AR93" s="238"/>
      <c r="AS93" s="238"/>
      <c r="AT93" s="238"/>
      <c r="AU93" s="238"/>
      <c r="AV93" s="238"/>
      <c r="AW93" s="238"/>
      <c r="AX93" s="238"/>
      <c r="AY93" s="238"/>
      <c r="AZ93" s="238"/>
      <c r="BA93" s="238"/>
      <c r="BB93" s="238"/>
      <c r="BC93" s="238"/>
      <c r="BD93" s="238"/>
      <c r="BE93" s="238"/>
      <c r="BF93" s="238"/>
      <c r="BG93" s="238"/>
      <c r="BH93" s="238"/>
      <c r="BI93" s="238"/>
      <c r="BJ93" s="238"/>
    </row>
    <row r="94" spans="1:62" s="156" customFormat="1" ht="13.5" customHeight="1" x14ac:dyDescent="0.2">
      <c r="A94" s="625" t="s">
        <v>36</v>
      </c>
      <c r="B94" s="625" t="s">
        <v>2</v>
      </c>
      <c r="C94" s="625" t="s">
        <v>21</v>
      </c>
      <c r="D94" s="625"/>
      <c r="E94" s="625"/>
      <c r="F94" s="157"/>
      <c r="G94" s="157"/>
      <c r="H94" s="157"/>
      <c r="I94" s="157"/>
      <c r="J94" s="157"/>
      <c r="K94" s="157"/>
      <c r="N94" s="238"/>
      <c r="O94" s="238"/>
      <c r="P94" s="238"/>
      <c r="Q94" s="238"/>
      <c r="R94" s="238"/>
      <c r="S94" s="238"/>
      <c r="T94" s="238"/>
      <c r="U94" s="238"/>
      <c r="V94" s="238"/>
      <c r="W94" s="238"/>
      <c r="X94" s="238"/>
      <c r="Y94" s="238"/>
      <c r="Z94" s="238"/>
      <c r="AA94" s="238"/>
      <c r="AB94" s="238"/>
      <c r="AC94" s="238"/>
      <c r="AD94" s="238"/>
      <c r="AE94" s="238"/>
      <c r="AF94" s="238"/>
      <c r="AG94" s="238"/>
      <c r="AH94" s="238"/>
      <c r="AI94" s="238"/>
      <c r="AJ94" s="238"/>
      <c r="AK94" s="238"/>
      <c r="AL94" s="238"/>
      <c r="AM94" s="238"/>
      <c r="AN94" s="238"/>
      <c r="AO94" s="238"/>
      <c r="AP94" s="238"/>
      <c r="AQ94" s="238"/>
      <c r="AR94" s="238"/>
      <c r="AS94" s="238"/>
      <c r="AT94" s="238"/>
      <c r="AU94" s="238"/>
      <c r="AV94" s="238"/>
      <c r="AW94" s="238"/>
      <c r="AX94" s="238"/>
      <c r="AY94" s="238"/>
      <c r="AZ94" s="238"/>
      <c r="BA94" s="238"/>
      <c r="BB94" s="238"/>
      <c r="BC94" s="238"/>
      <c r="BD94" s="238"/>
      <c r="BE94" s="238"/>
      <c r="BF94" s="238"/>
      <c r="BG94" s="238"/>
      <c r="BH94" s="238"/>
      <c r="BI94" s="238"/>
      <c r="BJ94" s="238"/>
    </row>
    <row r="95" spans="1:62" s="156" customFormat="1" ht="12" customHeight="1" x14ac:dyDescent="0.2">
      <c r="A95" s="625"/>
      <c r="B95" s="625"/>
      <c r="C95" s="272" t="s">
        <v>477</v>
      </c>
      <c r="D95" s="272" t="s">
        <v>552</v>
      </c>
      <c r="E95" s="272" t="s">
        <v>579</v>
      </c>
      <c r="F95" s="157"/>
      <c r="G95" s="157"/>
      <c r="H95" s="157"/>
      <c r="I95" s="157"/>
      <c r="J95" s="157"/>
      <c r="K95" s="157"/>
      <c r="N95" s="238"/>
      <c r="O95" s="238"/>
      <c r="P95" s="238"/>
      <c r="Q95" s="238"/>
      <c r="R95" s="238"/>
      <c r="S95" s="238"/>
      <c r="T95" s="238"/>
      <c r="U95" s="238"/>
      <c r="V95" s="238"/>
      <c r="W95" s="238"/>
      <c r="X95" s="238"/>
      <c r="Y95" s="238"/>
      <c r="Z95" s="238"/>
      <c r="AA95" s="238"/>
      <c r="AB95" s="238"/>
      <c r="AC95" s="238"/>
      <c r="AD95" s="238"/>
      <c r="AE95" s="238"/>
      <c r="AF95" s="238"/>
      <c r="AG95" s="238"/>
      <c r="AH95" s="238"/>
      <c r="AI95" s="238"/>
      <c r="AJ95" s="238"/>
      <c r="AK95" s="238"/>
      <c r="AL95" s="238"/>
      <c r="AM95" s="238"/>
      <c r="AN95" s="238"/>
      <c r="AO95" s="238"/>
      <c r="AP95" s="238"/>
      <c r="AQ95" s="238"/>
      <c r="AR95" s="238"/>
      <c r="AS95" s="238"/>
      <c r="AT95" s="238"/>
      <c r="AU95" s="238"/>
      <c r="AV95" s="238"/>
      <c r="AW95" s="238"/>
      <c r="AX95" s="238"/>
      <c r="AY95" s="238"/>
      <c r="AZ95" s="238"/>
      <c r="BA95" s="238"/>
      <c r="BB95" s="238"/>
      <c r="BC95" s="238"/>
      <c r="BD95" s="238"/>
      <c r="BE95" s="238"/>
      <c r="BF95" s="238"/>
      <c r="BG95" s="238"/>
      <c r="BH95" s="238"/>
      <c r="BI95" s="238"/>
      <c r="BJ95" s="238"/>
    </row>
    <row r="96" spans="1:62" s="156" customFormat="1" ht="25.5" x14ac:dyDescent="0.2">
      <c r="A96" s="625"/>
      <c r="B96" s="625"/>
      <c r="C96" s="18" t="s">
        <v>37</v>
      </c>
      <c r="D96" s="18" t="s">
        <v>38</v>
      </c>
      <c r="E96" s="18" t="s">
        <v>39</v>
      </c>
      <c r="F96" s="157"/>
      <c r="G96" s="157"/>
      <c r="H96" s="157"/>
      <c r="I96" s="157"/>
      <c r="J96" s="157"/>
      <c r="K96" s="157"/>
      <c r="N96" s="238"/>
      <c r="O96" s="238"/>
      <c r="P96" s="238"/>
      <c r="Q96" s="238"/>
      <c r="R96" s="238"/>
      <c r="S96" s="238"/>
      <c r="T96" s="238"/>
      <c r="U96" s="238"/>
      <c r="V96" s="238"/>
      <c r="W96" s="238"/>
      <c r="X96" s="238"/>
      <c r="Y96" s="238"/>
      <c r="Z96" s="238"/>
      <c r="AA96" s="238"/>
      <c r="AB96" s="238"/>
      <c r="AC96" s="238"/>
      <c r="AD96" s="238"/>
      <c r="AE96" s="238"/>
      <c r="AF96" s="238"/>
      <c r="AG96" s="238"/>
      <c r="AH96" s="238"/>
      <c r="AI96" s="238"/>
      <c r="AJ96" s="238"/>
      <c r="AK96" s="238"/>
      <c r="AL96" s="238"/>
      <c r="AM96" s="238"/>
      <c r="AN96" s="238"/>
      <c r="AO96" s="238"/>
      <c r="AP96" s="238"/>
      <c r="AQ96" s="238"/>
      <c r="AR96" s="238"/>
      <c r="AS96" s="238"/>
      <c r="AT96" s="238"/>
      <c r="AU96" s="238"/>
      <c r="AV96" s="238"/>
      <c r="AW96" s="238"/>
      <c r="AX96" s="238"/>
      <c r="AY96" s="238"/>
      <c r="AZ96" s="238"/>
      <c r="BA96" s="238"/>
      <c r="BB96" s="238"/>
      <c r="BC96" s="238"/>
      <c r="BD96" s="238"/>
      <c r="BE96" s="238"/>
      <c r="BF96" s="238"/>
      <c r="BG96" s="238"/>
      <c r="BH96" s="238"/>
      <c r="BI96" s="238"/>
      <c r="BJ96" s="238"/>
    </row>
    <row r="97" spans="1:62" s="156" customFormat="1" ht="12.75" customHeight="1" x14ac:dyDescent="0.2">
      <c r="A97" s="625"/>
      <c r="B97" s="625"/>
      <c r="C97" s="18"/>
      <c r="D97" s="18"/>
      <c r="E97" s="18"/>
      <c r="F97" s="157"/>
      <c r="G97" s="157"/>
      <c r="H97" s="157"/>
      <c r="I97" s="157"/>
      <c r="J97" s="157"/>
      <c r="K97" s="157"/>
      <c r="N97" s="238"/>
      <c r="O97" s="238"/>
      <c r="P97" s="238"/>
      <c r="Q97" s="238"/>
      <c r="R97" s="238"/>
      <c r="S97" s="238"/>
      <c r="T97" s="238"/>
      <c r="U97" s="238"/>
      <c r="V97" s="238"/>
      <c r="W97" s="238"/>
      <c r="X97" s="238"/>
      <c r="Y97" s="238"/>
      <c r="Z97" s="238"/>
      <c r="AA97" s="238"/>
      <c r="AB97" s="238"/>
      <c r="AC97" s="238"/>
      <c r="AD97" s="238"/>
      <c r="AE97" s="238"/>
      <c r="AF97" s="238"/>
      <c r="AG97" s="238"/>
      <c r="AH97" s="238"/>
      <c r="AI97" s="238"/>
      <c r="AJ97" s="238"/>
      <c r="AK97" s="238"/>
      <c r="AL97" s="238"/>
      <c r="AM97" s="238"/>
      <c r="AN97" s="238"/>
      <c r="AO97" s="238"/>
      <c r="AP97" s="238"/>
      <c r="AQ97" s="238"/>
      <c r="AR97" s="238"/>
      <c r="AS97" s="238"/>
      <c r="AT97" s="238"/>
      <c r="AU97" s="238"/>
      <c r="AV97" s="238"/>
      <c r="AW97" s="238"/>
      <c r="AX97" s="238"/>
      <c r="AY97" s="238"/>
      <c r="AZ97" s="238"/>
      <c r="BA97" s="238"/>
      <c r="BB97" s="238"/>
      <c r="BC97" s="238"/>
      <c r="BD97" s="238"/>
      <c r="BE97" s="238"/>
      <c r="BF97" s="238"/>
      <c r="BG97" s="238"/>
      <c r="BH97" s="238"/>
      <c r="BI97" s="238"/>
      <c r="BJ97" s="238"/>
    </row>
    <row r="98" spans="1:62" s="156" customFormat="1" ht="21" customHeight="1" x14ac:dyDescent="0.2">
      <c r="A98" s="123">
        <v>1</v>
      </c>
      <c r="B98" s="123">
        <v>2</v>
      </c>
      <c r="C98" s="123" t="s">
        <v>40</v>
      </c>
      <c r="D98" s="123" t="s">
        <v>41</v>
      </c>
      <c r="E98" s="123" t="s">
        <v>42</v>
      </c>
      <c r="F98" s="157"/>
      <c r="G98" s="157"/>
      <c r="H98" s="157"/>
      <c r="I98" s="157"/>
      <c r="J98" s="157"/>
      <c r="K98" s="157"/>
      <c r="N98" s="238"/>
      <c r="O98" s="238"/>
      <c r="P98" s="238"/>
      <c r="Q98" s="238"/>
      <c r="R98" s="238"/>
      <c r="S98" s="238"/>
      <c r="T98" s="238"/>
      <c r="U98" s="238"/>
      <c r="V98" s="238"/>
      <c r="W98" s="238"/>
      <c r="X98" s="238"/>
      <c r="Y98" s="238"/>
      <c r="Z98" s="238"/>
      <c r="AA98" s="238"/>
      <c r="AB98" s="238"/>
      <c r="AC98" s="238"/>
      <c r="AD98" s="238"/>
      <c r="AE98" s="238"/>
      <c r="AF98" s="238"/>
      <c r="AG98" s="238"/>
      <c r="AH98" s="238"/>
      <c r="AI98" s="238"/>
      <c r="AJ98" s="238"/>
      <c r="AK98" s="238"/>
      <c r="AL98" s="238"/>
      <c r="AM98" s="238"/>
      <c r="AN98" s="238"/>
      <c r="AO98" s="238"/>
      <c r="AP98" s="238"/>
      <c r="AQ98" s="238"/>
      <c r="AR98" s="238"/>
      <c r="AS98" s="238"/>
      <c r="AT98" s="238"/>
      <c r="AU98" s="238"/>
      <c r="AV98" s="238"/>
      <c r="AW98" s="238"/>
      <c r="AX98" s="238"/>
      <c r="AY98" s="238"/>
      <c r="AZ98" s="238"/>
      <c r="BA98" s="238"/>
      <c r="BB98" s="238"/>
      <c r="BC98" s="238"/>
      <c r="BD98" s="238"/>
      <c r="BE98" s="238"/>
      <c r="BF98" s="238"/>
      <c r="BG98" s="238"/>
      <c r="BH98" s="238"/>
      <c r="BI98" s="238"/>
      <c r="BJ98" s="238"/>
    </row>
    <row r="99" spans="1:62" s="156" customFormat="1" ht="83.25" customHeight="1" x14ac:dyDescent="0.2">
      <c r="A99" s="158" t="s">
        <v>564</v>
      </c>
      <c r="B99" s="18" t="s">
        <v>44</v>
      </c>
      <c r="C99" s="222">
        <v>0</v>
      </c>
      <c r="D99" s="159">
        <v>0</v>
      </c>
      <c r="E99" s="159">
        <v>0</v>
      </c>
      <c r="F99" s="157"/>
      <c r="G99" s="157"/>
      <c r="H99" s="157"/>
      <c r="I99" s="157"/>
      <c r="J99" s="157"/>
      <c r="K99" s="157"/>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238"/>
      <c r="AP99" s="238"/>
      <c r="AQ99" s="238"/>
      <c r="AR99" s="238"/>
      <c r="AS99" s="238"/>
      <c r="AT99" s="238"/>
      <c r="AU99" s="238"/>
      <c r="AV99" s="238"/>
      <c r="AW99" s="238"/>
      <c r="AX99" s="238"/>
      <c r="AY99" s="238"/>
      <c r="AZ99" s="238"/>
      <c r="BA99" s="238"/>
      <c r="BB99" s="238"/>
      <c r="BC99" s="238"/>
      <c r="BD99" s="238"/>
      <c r="BE99" s="238"/>
      <c r="BF99" s="238"/>
      <c r="BG99" s="238"/>
      <c r="BH99" s="238"/>
      <c r="BI99" s="238"/>
      <c r="BJ99" s="238"/>
    </row>
    <row r="100" spans="1:62" s="156" customFormat="1" ht="78.75" customHeight="1" x14ac:dyDescent="0.2">
      <c r="A100" s="18" t="s">
        <v>565</v>
      </c>
      <c r="B100" s="18" t="s">
        <v>46</v>
      </c>
      <c r="C100" s="222">
        <v>8210.9699999999993</v>
      </c>
      <c r="D100" s="159">
        <v>0</v>
      </c>
      <c r="E100" s="159">
        <v>0</v>
      </c>
      <c r="F100" s="157"/>
      <c r="G100" s="157"/>
      <c r="H100" s="157"/>
      <c r="I100" s="157"/>
      <c r="J100" s="157"/>
      <c r="K100" s="157"/>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238"/>
      <c r="AP100" s="238"/>
      <c r="AQ100" s="238"/>
      <c r="AR100" s="238"/>
      <c r="AS100" s="238"/>
      <c r="AT100" s="238"/>
      <c r="AU100" s="238"/>
      <c r="AV100" s="238"/>
      <c r="AW100" s="238"/>
      <c r="AX100" s="238"/>
      <c r="AY100" s="238"/>
      <c r="AZ100" s="238"/>
      <c r="BA100" s="238"/>
      <c r="BB100" s="238"/>
      <c r="BC100" s="238"/>
      <c r="BD100" s="238"/>
      <c r="BE100" s="238"/>
      <c r="BF100" s="238"/>
      <c r="BG100" s="238"/>
      <c r="BH100" s="238"/>
      <c r="BI100" s="238"/>
      <c r="BJ100" s="238"/>
    </row>
  </sheetData>
  <customSheetViews>
    <customSheetView guid="{DC13F25B-CAA7-4E25-AFF1-0DCF9AD75BDE}" scale="70" showPageBreaks="1" printArea="1" view="pageBreakPreview" topLeftCell="A19">
      <selection activeCell="M27" sqref="M27"/>
      <rowBreaks count="1" manualBreakCount="1">
        <brk id="67" max="11" man="1"/>
      </rowBreaks>
      <pageMargins left="0.59055118110236227" right="0.51181102362204722" top="1.1811023622047245" bottom="0.39370078740157483" header="0.19685039370078741" footer="0.19685039370078741"/>
      <printOptions horizontalCentered="1"/>
      <pageSetup paperSize="9" scale="30" firstPageNumber="25" fitToHeight="3" orientation="landscape" useFirstPageNumber="1" r:id="rId1"/>
      <headerFooter alignWithMargins="0"/>
    </customSheetView>
    <customSheetView guid="{6AD2622C-AF85-4997-AA93-A54C85AD6D68}" scale="80" showPageBreaks="1" printArea="1" view="pageBreakPreview" topLeftCell="A7">
      <selection activeCell="L29" sqref="L29"/>
      <rowBreaks count="4" manualBreakCount="4">
        <brk id="15" max="11" man="1"/>
        <brk id="27" max="11" man="1"/>
        <brk id="52" max="11" man="1"/>
        <brk id="67" max="11" man="1"/>
      </rowBreaks>
      <pageMargins left="0.59055118110236227" right="0.51181102362204722" top="1.1811023622047245" bottom="0.39370078740157483" header="0.19685039370078741" footer="0.19685039370078741"/>
      <printOptions horizontalCentered="1"/>
      <pageSetup paperSize="9" scale="71" firstPageNumber="25" orientation="landscape" useFirstPageNumber="1" r:id="rId2"/>
      <headerFooter alignWithMargins="0">
        <oddHeader>&amp;C&amp;"Times New Roman,обычный"&amp;12&amp;P</oddHeader>
      </headerFooter>
    </customSheetView>
    <customSheetView guid="{C88A4605-0F8D-4713-9317-AF13632C8FA6}" scale="80" showPageBreaks="1" printArea="1" view="pageBreakPreview" topLeftCell="A7">
      <selection activeCell="L29" sqref="L29"/>
      <rowBreaks count="4" manualBreakCount="4">
        <brk id="15" max="11" man="1"/>
        <brk id="27" max="11" man="1"/>
        <brk id="52" max="11" man="1"/>
        <brk id="67" max="11" man="1"/>
      </rowBreaks>
      <pageMargins left="0.59055118110236227" right="0.51181102362204722" top="1.1811023622047245" bottom="0.39370078740157483" header="0.19685039370078741" footer="0.19685039370078741"/>
      <printOptions horizontalCentered="1"/>
      <pageSetup paperSize="9" scale="71" firstPageNumber="25" orientation="landscape" useFirstPageNumber="1" r:id="rId3"/>
      <headerFooter alignWithMargins="0">
        <oddHeader>&amp;C&amp;"Times New Roman,обычный"&amp;12&amp;P</oddHeader>
      </headerFooter>
    </customSheetView>
    <customSheetView guid="{84CC8968-6D7C-41C4-B973-ECD381BB63FC}" scale="70" showPageBreaks="1" printArea="1" view="pageBreakPreview" topLeftCell="A85">
      <selection activeCell="C57" sqref="C57"/>
      <rowBreaks count="1" manualBreakCount="1">
        <brk id="67" max="11" man="1"/>
      </rowBreaks>
      <pageMargins left="0.59055118110236227" right="0.51181102362204722" top="1.1811023622047245" bottom="0.39370078740157483" header="0.19685039370078741" footer="0.19685039370078741"/>
      <printOptions horizontalCentered="1"/>
      <pageSetup paperSize="9" scale="30" firstPageNumber="25" fitToHeight="3" orientation="landscape" useFirstPageNumber="1" r:id="rId4"/>
      <headerFooter alignWithMargins="0"/>
    </customSheetView>
    <customSheetView guid="{C47F8591-E97A-4739-B299-8B7B5E22A2DD}" scale="70" showPageBreaks="1" printArea="1" view="pageBreakPreview" topLeftCell="A19">
      <selection activeCell="M27" sqref="M27"/>
      <rowBreaks count="1" manualBreakCount="1">
        <brk id="67" max="11" man="1"/>
      </rowBreaks>
      <pageMargins left="0.59055118110236227" right="0.51181102362204722" top="1.1811023622047245" bottom="0.39370078740157483" header="0.19685039370078741" footer="0.19685039370078741"/>
      <printOptions horizontalCentered="1"/>
      <pageSetup paperSize="9" scale="30" firstPageNumber="25" fitToHeight="3" orientation="landscape" useFirstPageNumber="1" r:id="rId5"/>
      <headerFooter alignWithMargins="0"/>
    </customSheetView>
  </customSheetViews>
  <mergeCells count="76">
    <mergeCell ref="A4:A7"/>
    <mergeCell ref="B4:B7"/>
    <mergeCell ref="C4:E4"/>
    <mergeCell ref="C6:C7"/>
    <mergeCell ref="D6:D7"/>
    <mergeCell ref="E6:E7"/>
    <mergeCell ref="L19:L22"/>
    <mergeCell ref="D20:D22"/>
    <mergeCell ref="E20:K20"/>
    <mergeCell ref="E21:E22"/>
    <mergeCell ref="F21:F22"/>
    <mergeCell ref="G21:G22"/>
    <mergeCell ref="H21:I21"/>
    <mergeCell ref="J21:K21"/>
    <mergeCell ref="A31:A34"/>
    <mergeCell ref="B31:B34"/>
    <mergeCell ref="C31:C34"/>
    <mergeCell ref="D31:K31"/>
    <mergeCell ref="A19:A22"/>
    <mergeCell ref="B19:B22"/>
    <mergeCell ref="C19:C22"/>
    <mergeCell ref="D19:K19"/>
    <mergeCell ref="L31:L34"/>
    <mergeCell ref="D32:D34"/>
    <mergeCell ref="E32:K32"/>
    <mergeCell ref="E33:E34"/>
    <mergeCell ref="F33:F34"/>
    <mergeCell ref="G33:G34"/>
    <mergeCell ref="H33:I33"/>
    <mergeCell ref="J33:K33"/>
    <mergeCell ref="B43:B46"/>
    <mergeCell ref="C43:C46"/>
    <mergeCell ref="D43:K43"/>
    <mergeCell ref="D44:D46"/>
    <mergeCell ref="E44:K44"/>
    <mergeCell ref="E45:E46"/>
    <mergeCell ref="F45:F46"/>
    <mergeCell ref="G45:G46"/>
    <mergeCell ref="H45:I45"/>
    <mergeCell ref="A94:A97"/>
    <mergeCell ref="B94:B97"/>
    <mergeCell ref="C94:E94"/>
    <mergeCell ref="A1:M1"/>
    <mergeCell ref="A89:L89"/>
    <mergeCell ref="A3:L3"/>
    <mergeCell ref="C69:E69"/>
    <mergeCell ref="F69:H69"/>
    <mergeCell ref="J45:K45"/>
    <mergeCell ref="A56:A59"/>
    <mergeCell ref="B56:B59"/>
    <mergeCell ref="C56:E56"/>
    <mergeCell ref="C58:C59"/>
    <mergeCell ref="D58:D59"/>
    <mergeCell ref="E58:E59"/>
    <mergeCell ref="A43:A46"/>
    <mergeCell ref="B74:B75"/>
    <mergeCell ref="C74:C75"/>
    <mergeCell ref="D74:D75"/>
    <mergeCell ref="E74:E75"/>
    <mergeCell ref="B79:B80"/>
    <mergeCell ref="C79:C80"/>
    <mergeCell ref="D79:D80"/>
    <mergeCell ref="E79:E80"/>
    <mergeCell ref="B86:B87"/>
    <mergeCell ref="C86:C87"/>
    <mergeCell ref="D86:D87"/>
    <mergeCell ref="E86:E87"/>
    <mergeCell ref="H86:H87"/>
    <mergeCell ref="G86:G87"/>
    <mergeCell ref="F86:F87"/>
    <mergeCell ref="H79:H80"/>
    <mergeCell ref="G79:G80"/>
    <mergeCell ref="F79:F80"/>
    <mergeCell ref="H74:H75"/>
    <mergeCell ref="G74:G75"/>
    <mergeCell ref="F74:F75"/>
  </mergeCells>
  <printOptions horizontalCentered="1"/>
  <pageMargins left="0.59055118110236227" right="0.51181102362204722" top="1.1811023622047245" bottom="0.39370078740157483" header="0.19685039370078741" footer="0.19685039370078741"/>
  <pageSetup paperSize="9" scale="30" firstPageNumber="25" fitToHeight="3" orientation="landscape" useFirstPageNumber="1" r:id="rId6"/>
  <headerFooter alignWithMargins="0"/>
  <rowBreaks count="1" manualBreakCount="1">
    <brk id="67"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T26"/>
  <sheetViews>
    <sheetView view="pageBreakPreview" topLeftCell="A4" zoomScale="90" zoomScaleNormal="120" zoomScaleSheetLayoutView="90" workbookViewId="0">
      <selection activeCell="E22" sqref="E22"/>
    </sheetView>
  </sheetViews>
  <sheetFormatPr defaultColWidth="0.85546875" defaultRowHeight="12.75" x14ac:dyDescent="0.2"/>
  <cols>
    <col min="1" max="1" width="52.7109375" style="35" customWidth="1"/>
    <col min="2" max="2" width="8.140625" style="35" customWidth="1"/>
    <col min="3" max="3" width="14.42578125" style="35" customWidth="1"/>
    <col min="4" max="4" width="18.7109375" style="35" customWidth="1"/>
    <col min="5" max="5" width="17.85546875" style="35" customWidth="1"/>
    <col min="6" max="6" width="18.7109375" style="35" customWidth="1"/>
    <col min="7" max="7" width="11.7109375" style="35" customWidth="1"/>
    <col min="8" max="16384" width="0.85546875" style="35"/>
  </cols>
  <sheetData>
    <row r="1" spans="1:20" s="34" customFormat="1" ht="21" customHeight="1" x14ac:dyDescent="0.25">
      <c r="A1" s="658" t="s">
        <v>128</v>
      </c>
      <c r="B1" s="658"/>
      <c r="C1" s="658"/>
      <c r="D1" s="658"/>
      <c r="E1" s="658"/>
      <c r="F1" s="33"/>
      <c r="G1" s="33"/>
      <c r="H1" s="33"/>
      <c r="I1" s="33"/>
      <c r="J1" s="33"/>
      <c r="K1" s="33"/>
      <c r="L1" s="33"/>
      <c r="M1" s="33"/>
      <c r="N1" s="33"/>
      <c r="O1" s="33"/>
      <c r="P1" s="33"/>
      <c r="Q1" s="33"/>
      <c r="R1" s="33"/>
      <c r="S1" s="33"/>
      <c r="T1" s="33"/>
    </row>
    <row r="2" spans="1:20" x14ac:dyDescent="0.2">
      <c r="A2" s="40"/>
      <c r="B2" s="40"/>
      <c r="C2" s="40"/>
      <c r="D2" s="40"/>
      <c r="E2" s="40"/>
    </row>
    <row r="3" spans="1:20" ht="15.6" customHeight="1" x14ac:dyDescent="0.2">
      <c r="A3" s="659" t="s">
        <v>36</v>
      </c>
      <c r="B3" s="659" t="s">
        <v>129</v>
      </c>
      <c r="C3" s="662" t="s">
        <v>21</v>
      </c>
      <c r="D3" s="662"/>
      <c r="E3" s="662"/>
    </row>
    <row r="4" spans="1:20" x14ac:dyDescent="0.2">
      <c r="A4" s="660"/>
      <c r="B4" s="660"/>
      <c r="C4" s="370" t="s">
        <v>477</v>
      </c>
      <c r="D4" s="370" t="s">
        <v>552</v>
      </c>
      <c r="E4" s="370" t="s">
        <v>579</v>
      </c>
    </row>
    <row r="5" spans="1:20" ht="10.15" customHeight="1" x14ac:dyDescent="0.2">
      <c r="A5" s="660"/>
      <c r="B5" s="660"/>
      <c r="C5" s="663" t="s">
        <v>37</v>
      </c>
      <c r="D5" s="663" t="s">
        <v>38</v>
      </c>
      <c r="E5" s="663" t="s">
        <v>39</v>
      </c>
    </row>
    <row r="6" spans="1:20" ht="18" customHeight="1" x14ac:dyDescent="0.2">
      <c r="A6" s="661"/>
      <c r="B6" s="661"/>
      <c r="C6" s="663"/>
      <c r="D6" s="663"/>
      <c r="E6" s="663"/>
    </row>
    <row r="7" spans="1:20" x14ac:dyDescent="0.2">
      <c r="A7" s="422">
        <v>1</v>
      </c>
      <c r="B7" s="422">
        <v>2</v>
      </c>
      <c r="C7" s="423" t="s">
        <v>40</v>
      </c>
      <c r="D7" s="292" t="s">
        <v>41</v>
      </c>
      <c r="E7" s="292" t="s">
        <v>42</v>
      </c>
    </row>
    <row r="8" spans="1:20" ht="62.25" customHeight="1" x14ac:dyDescent="0.2">
      <c r="A8" s="424" t="s">
        <v>732</v>
      </c>
      <c r="B8" s="425">
        <v>100</v>
      </c>
      <c r="C8" s="293"/>
      <c r="D8" s="293"/>
      <c r="E8" s="293"/>
    </row>
    <row r="9" spans="1:20" ht="47.25" x14ac:dyDescent="0.2">
      <c r="A9" s="424" t="s">
        <v>130</v>
      </c>
      <c r="B9" s="425">
        <v>200</v>
      </c>
      <c r="C9" s="293"/>
      <c r="D9" s="293"/>
      <c r="E9" s="293"/>
    </row>
    <row r="10" spans="1:20" ht="15" customHeight="1" x14ac:dyDescent="0.2">
      <c r="A10" s="426" t="s">
        <v>131</v>
      </c>
      <c r="B10" s="427">
        <v>300</v>
      </c>
      <c r="C10" s="294">
        <f>SUM(C12:C21)</f>
        <v>9569122.8000000007</v>
      </c>
      <c r="D10" s="294">
        <f t="shared" ref="D10:E10" si="0">SUM(D12:D21)</f>
        <v>8260844.6299999999</v>
      </c>
      <c r="E10" s="294">
        <f t="shared" si="0"/>
        <v>8261192.3200000003</v>
      </c>
    </row>
    <row r="11" spans="1:20" ht="15" customHeight="1" x14ac:dyDescent="0.2">
      <c r="A11" s="395" t="s">
        <v>61</v>
      </c>
      <c r="B11" s="657">
        <v>301</v>
      </c>
      <c r="C11" s="294"/>
      <c r="D11" s="294"/>
      <c r="E11" s="294"/>
    </row>
    <row r="12" spans="1:20" ht="15" customHeight="1" x14ac:dyDescent="0.2">
      <c r="A12" s="395" t="s">
        <v>133</v>
      </c>
      <c r="B12" s="657"/>
      <c r="C12" s="229">
        <f>'221'!L10</f>
        <v>16000</v>
      </c>
      <c r="D12" s="229">
        <f>'221'!M10</f>
        <v>66000</v>
      </c>
      <c r="E12" s="229">
        <f>'221'!N10</f>
        <v>66000</v>
      </c>
      <c r="F12" s="428">
        <v>221</v>
      </c>
    </row>
    <row r="13" spans="1:20" ht="15" customHeight="1" x14ac:dyDescent="0.2">
      <c r="A13" s="395" t="s">
        <v>134</v>
      </c>
      <c r="B13" s="391">
        <v>302</v>
      </c>
      <c r="C13" s="229">
        <f>'222'!I10</f>
        <v>0</v>
      </c>
      <c r="D13" s="229">
        <f>'222'!J10</f>
        <v>0</v>
      </c>
      <c r="E13" s="229">
        <f>'222'!K10</f>
        <v>0</v>
      </c>
      <c r="F13" s="428">
        <v>222</v>
      </c>
    </row>
    <row r="14" spans="1:20" ht="15" customHeight="1" x14ac:dyDescent="0.2">
      <c r="A14" s="395" t="s">
        <v>135</v>
      </c>
      <c r="B14" s="391">
        <v>303</v>
      </c>
      <c r="C14" s="229">
        <f>'223'!I16</f>
        <v>3710398.43</v>
      </c>
      <c r="D14" s="229">
        <f>'223'!J16</f>
        <v>3187979</v>
      </c>
      <c r="E14" s="229">
        <f>'223'!K16</f>
        <v>3187979</v>
      </c>
      <c r="F14" s="428">
        <v>223</v>
      </c>
    </row>
    <row r="15" spans="1:20" ht="15" customHeight="1" x14ac:dyDescent="0.2">
      <c r="A15" s="395" t="s">
        <v>136</v>
      </c>
      <c r="B15" s="391">
        <v>304</v>
      </c>
      <c r="C15" s="42"/>
      <c r="D15" s="42"/>
      <c r="E15" s="42"/>
      <c r="F15" s="428">
        <v>224</v>
      </c>
    </row>
    <row r="16" spans="1:20" ht="15" customHeight="1" x14ac:dyDescent="0.2">
      <c r="A16" s="395" t="s">
        <v>137</v>
      </c>
      <c r="B16" s="391">
        <v>305</v>
      </c>
      <c r="C16" s="229">
        <f>'225 подробно'!I48+'225 подробно'!I49+'225 подробно'!I50</f>
        <v>2260406.2800000003</v>
      </c>
      <c r="D16" s="229">
        <f>'225 подробно'!J48+'225 подробно'!J49+'225 подробно'!J50</f>
        <v>2454725.52</v>
      </c>
      <c r="E16" s="229">
        <f>'225 подробно'!K48+'225 подробно'!K49+'225 подробно'!K50</f>
        <v>2454725.52</v>
      </c>
      <c r="F16" s="428">
        <v>225</v>
      </c>
    </row>
    <row r="17" spans="1:7" ht="15" customHeight="1" x14ac:dyDescent="0.2">
      <c r="A17" s="395" t="s">
        <v>733</v>
      </c>
      <c r="B17" s="391">
        <v>306</v>
      </c>
      <c r="C17" s="229">
        <f>'227'!I8</f>
        <v>0</v>
      </c>
      <c r="D17" s="229">
        <f>'227'!J8</f>
        <v>0</v>
      </c>
      <c r="E17" s="229">
        <f>'227'!K8</f>
        <v>0</v>
      </c>
      <c r="F17" s="428" t="s">
        <v>734</v>
      </c>
    </row>
    <row r="18" spans="1:7" ht="29.25" customHeight="1" x14ac:dyDescent="0.2">
      <c r="A18" s="395" t="s">
        <v>735</v>
      </c>
      <c r="B18" s="391">
        <v>307</v>
      </c>
      <c r="C18" s="229">
        <f>'226 повышение квалификации'!I11</f>
        <v>10600</v>
      </c>
      <c r="D18" s="229">
        <f>'226 повышение квалификации'!J11</f>
        <v>18300</v>
      </c>
      <c r="E18" s="229">
        <f>'226 повышение квалификации'!K11</f>
        <v>18300</v>
      </c>
      <c r="F18" s="428" t="s">
        <v>736</v>
      </c>
    </row>
    <row r="19" spans="1:7" ht="65.25" customHeight="1" x14ac:dyDescent="0.2">
      <c r="A19" s="395" t="s">
        <v>138</v>
      </c>
      <c r="B19" s="391">
        <v>308</v>
      </c>
      <c r="C19" s="229">
        <f>'226 подробно'!F40-C18+'226 подробно'!F38</f>
        <v>1661574.82</v>
      </c>
      <c r="D19" s="229">
        <f>'226 подробно'!G40-D18</f>
        <v>1431226.82</v>
      </c>
      <c r="E19" s="229">
        <f>'226 подробно'!H40-E18</f>
        <v>1431226.82</v>
      </c>
      <c r="F19" s="428" t="s">
        <v>737</v>
      </c>
    </row>
    <row r="20" spans="1:7" ht="17.25" customHeight="1" x14ac:dyDescent="0.2">
      <c r="A20" s="395" t="s">
        <v>738</v>
      </c>
      <c r="B20" s="391">
        <v>309</v>
      </c>
      <c r="C20" s="229">
        <v>1365688.1800000002</v>
      </c>
      <c r="D20" s="229">
        <v>735706</v>
      </c>
      <c r="E20" s="229">
        <v>737188</v>
      </c>
      <c r="F20" s="428">
        <v>310</v>
      </c>
    </row>
    <row r="21" spans="1:7" ht="15.75" customHeight="1" x14ac:dyDescent="0.2">
      <c r="A21" s="395" t="s">
        <v>139</v>
      </c>
      <c r="B21" s="391">
        <v>310</v>
      </c>
      <c r="C21" s="223">
        <v>544455.09</v>
      </c>
      <c r="D21" s="223">
        <v>366907.29000000004</v>
      </c>
      <c r="E21" s="223">
        <v>365772.98</v>
      </c>
      <c r="F21" s="428">
        <v>340</v>
      </c>
    </row>
    <row r="22" spans="1:7" ht="62.25" customHeight="1" x14ac:dyDescent="0.2">
      <c r="A22" s="424" t="s">
        <v>739</v>
      </c>
      <c r="B22" s="425">
        <v>400</v>
      </c>
      <c r="C22" s="429"/>
      <c r="D22" s="429"/>
      <c r="E22" s="429"/>
    </row>
    <row r="23" spans="1:7" ht="51" customHeight="1" x14ac:dyDescent="0.2">
      <c r="A23" s="424" t="s">
        <v>140</v>
      </c>
      <c r="B23" s="425">
        <v>500</v>
      </c>
      <c r="C23" s="293"/>
      <c r="D23" s="293"/>
      <c r="E23" s="293"/>
    </row>
    <row r="24" spans="1:7" ht="38.25" customHeight="1" x14ac:dyDescent="0.2">
      <c r="A24" s="426" t="s">
        <v>592</v>
      </c>
      <c r="B24" s="427">
        <v>600</v>
      </c>
      <c r="C24" s="294">
        <f>C8-C9+C10-C22+C23</f>
        <v>9569122.8000000007</v>
      </c>
      <c r="D24" s="294">
        <f t="shared" ref="D24:E24" si="1">D8-D9+D10-D22+D23</f>
        <v>8260844.6299999999</v>
      </c>
      <c r="E24" s="294">
        <f t="shared" si="1"/>
        <v>8261192.3200000003</v>
      </c>
    </row>
    <row r="25" spans="1:7" ht="15.6" customHeight="1" x14ac:dyDescent="0.2">
      <c r="C25" s="306">
        <f>'раздел 1_2'!H80</f>
        <v>9569122.8000000007</v>
      </c>
      <c r="D25" s="306">
        <f>'раздел 1_2'!J80</f>
        <v>8260844.6299999999</v>
      </c>
      <c r="E25" s="306">
        <f>'раздел 1_2'!L80</f>
        <v>8261192.3200000003</v>
      </c>
      <c r="F25" s="63"/>
      <c r="G25" s="63"/>
    </row>
    <row r="26" spans="1:7" ht="15.75" customHeight="1" x14ac:dyDescent="0.2">
      <c r="C26" s="306">
        <f>C24-C25</f>
        <v>0</v>
      </c>
      <c r="D26" s="306">
        <f t="shared" ref="D26:E26" si="2">D24-D25</f>
        <v>0</v>
      </c>
      <c r="E26" s="306">
        <f t="shared" si="2"/>
        <v>0</v>
      </c>
    </row>
  </sheetData>
  <mergeCells count="8">
    <mergeCell ref="B11:B12"/>
    <mergeCell ref="A1:E1"/>
    <mergeCell ref="A3:A6"/>
    <mergeCell ref="B3:B6"/>
    <mergeCell ref="C3:E3"/>
    <mergeCell ref="C5:C6"/>
    <mergeCell ref="D5:D6"/>
    <mergeCell ref="E5:E6"/>
  </mergeCells>
  <printOptions horizontalCentered="1"/>
  <pageMargins left="0.59055118110236227" right="0.51181102362204722" top="1.1811023622047245" bottom="0.39370078740157483" header="0.19685039370078741" footer="0.19685039370078741"/>
  <pageSetup paperSize="9" scale="70" firstPageNumber="25"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view="pageBreakPreview" zoomScale="80" zoomScaleNormal="120" zoomScaleSheetLayoutView="80" workbookViewId="0">
      <pane xSplit="1" ySplit="6" topLeftCell="D7" activePane="bottomRight" state="frozen"/>
      <selection activeCell="E22" sqref="E22"/>
      <selection pane="topRight" activeCell="E22" sqref="E22"/>
      <selection pane="bottomLeft" activeCell="E22" sqref="E22"/>
      <selection pane="bottomRight" activeCell="E22" sqref="E22"/>
    </sheetView>
  </sheetViews>
  <sheetFormatPr defaultColWidth="0.85546875" defaultRowHeight="12.75" x14ac:dyDescent="0.2"/>
  <cols>
    <col min="1" max="1" width="31" style="6" customWidth="1"/>
    <col min="2" max="2" width="7.28515625" style="6" customWidth="1"/>
    <col min="3" max="3" width="10.42578125" style="6" customWidth="1"/>
    <col min="4" max="4" width="11" style="6" customWidth="1"/>
    <col min="5" max="5" width="11.28515625" style="6" customWidth="1"/>
    <col min="6" max="11" width="9.28515625" style="6" bestFit="1" customWidth="1"/>
    <col min="12" max="13" width="11.42578125" style="6" customWidth="1"/>
    <col min="14" max="14" width="11" style="6" customWidth="1"/>
    <col min="15" max="38" width="3.7109375" style="6" customWidth="1"/>
    <col min="39" max="39" width="10.7109375" style="6" customWidth="1"/>
    <col min="40" max="16384" width="0.85546875" style="6"/>
  </cols>
  <sheetData>
    <row r="1" spans="1:14" s="9" customFormat="1" ht="22.5" customHeight="1" x14ac:dyDescent="0.25">
      <c r="A1" s="628" t="s">
        <v>118</v>
      </c>
      <c r="B1" s="628"/>
      <c r="C1" s="628"/>
      <c r="D1" s="628"/>
      <c r="E1" s="628"/>
      <c r="F1" s="628"/>
      <c r="G1" s="628"/>
      <c r="H1" s="628"/>
      <c r="I1" s="628"/>
      <c r="J1" s="628"/>
      <c r="K1" s="628"/>
      <c r="L1" s="628"/>
      <c r="M1" s="628"/>
      <c r="N1" s="628"/>
    </row>
    <row r="2" spans="1:14" ht="15.75" customHeight="1" x14ac:dyDescent="0.2">
      <c r="A2" s="5"/>
      <c r="B2" s="5"/>
      <c r="C2" s="5"/>
      <c r="D2" s="5"/>
      <c r="E2" s="5"/>
      <c r="F2" s="5"/>
      <c r="G2" s="5"/>
      <c r="H2" s="5"/>
      <c r="I2" s="5"/>
      <c r="J2" s="5"/>
      <c r="K2" s="5"/>
      <c r="L2" s="5"/>
      <c r="M2" s="5"/>
      <c r="N2" s="5"/>
    </row>
    <row r="3" spans="1:14" ht="28.15" customHeight="1" x14ac:dyDescent="0.2">
      <c r="A3" s="582" t="s">
        <v>1</v>
      </c>
      <c r="B3" s="582" t="s">
        <v>2</v>
      </c>
      <c r="C3" s="582" t="s">
        <v>119</v>
      </c>
      <c r="D3" s="582"/>
      <c r="E3" s="582"/>
      <c r="F3" s="582" t="s">
        <v>120</v>
      </c>
      <c r="G3" s="582"/>
      <c r="H3" s="582"/>
      <c r="I3" s="582" t="s">
        <v>121</v>
      </c>
      <c r="J3" s="582"/>
      <c r="K3" s="582"/>
      <c r="L3" s="582" t="s">
        <v>21</v>
      </c>
      <c r="M3" s="582"/>
      <c r="N3" s="582"/>
    </row>
    <row r="4" spans="1:14" ht="12.75" customHeight="1" x14ac:dyDescent="0.2">
      <c r="A4" s="582"/>
      <c r="B4" s="582"/>
      <c r="C4" s="113" t="s">
        <v>477</v>
      </c>
      <c r="D4" s="113" t="s">
        <v>552</v>
      </c>
      <c r="E4" s="113" t="s">
        <v>578</v>
      </c>
      <c r="F4" s="270" t="s">
        <v>477</v>
      </c>
      <c r="G4" s="270" t="s">
        <v>552</v>
      </c>
      <c r="H4" s="270" t="s">
        <v>578</v>
      </c>
      <c r="I4" s="270" t="s">
        <v>477</v>
      </c>
      <c r="J4" s="270" t="s">
        <v>552</v>
      </c>
      <c r="K4" s="270" t="s">
        <v>578</v>
      </c>
      <c r="L4" s="270" t="s">
        <v>477</v>
      </c>
      <c r="M4" s="270" t="s">
        <v>552</v>
      </c>
      <c r="N4" s="270" t="s">
        <v>578</v>
      </c>
    </row>
    <row r="5" spans="1:14" ht="55.9" customHeight="1" x14ac:dyDescent="0.2">
      <c r="A5" s="582"/>
      <c r="B5" s="582"/>
      <c r="C5" s="22" t="s">
        <v>122</v>
      </c>
      <c r="D5" s="22" t="s">
        <v>123</v>
      </c>
      <c r="E5" s="22" t="s">
        <v>124</v>
      </c>
      <c r="F5" s="22" t="s">
        <v>122</v>
      </c>
      <c r="G5" s="22" t="s">
        <v>123</v>
      </c>
      <c r="H5" s="22" t="s">
        <v>124</v>
      </c>
      <c r="I5" s="22" t="s">
        <v>122</v>
      </c>
      <c r="J5" s="22" t="s">
        <v>123</v>
      </c>
      <c r="K5" s="22" t="s">
        <v>124</v>
      </c>
      <c r="L5" s="22" t="s">
        <v>122</v>
      </c>
      <c r="M5" s="22" t="s">
        <v>123</v>
      </c>
      <c r="N5" s="22" t="s">
        <v>124</v>
      </c>
    </row>
    <row r="6" spans="1:14" s="13" customFormat="1" x14ac:dyDescent="0.2">
      <c r="A6" s="8">
        <v>1</v>
      </c>
      <c r="B6" s="8">
        <v>2</v>
      </c>
      <c r="C6" s="8">
        <v>3</v>
      </c>
      <c r="D6" s="8">
        <v>4</v>
      </c>
      <c r="E6" s="8">
        <v>5</v>
      </c>
      <c r="F6" s="8">
        <v>6</v>
      </c>
      <c r="G6" s="8">
        <v>7</v>
      </c>
      <c r="H6" s="8">
        <v>8</v>
      </c>
      <c r="I6" s="8">
        <v>9</v>
      </c>
      <c r="J6" s="8">
        <v>10</v>
      </c>
      <c r="K6" s="8">
        <v>11</v>
      </c>
      <c r="L6" s="8">
        <v>12</v>
      </c>
      <c r="M6" s="8">
        <v>13</v>
      </c>
      <c r="N6" s="8">
        <v>14</v>
      </c>
    </row>
    <row r="7" spans="1:14" ht="38.25" customHeight="1" x14ac:dyDescent="0.2">
      <c r="A7" s="30" t="s">
        <v>568</v>
      </c>
      <c r="B7" s="25" t="s">
        <v>10</v>
      </c>
      <c r="C7" s="57">
        <f>L7/F7/I7</f>
        <v>0</v>
      </c>
      <c r="D7" s="57">
        <f t="shared" ref="D7:E9" si="0">M7/G7/J7</f>
        <v>0</v>
      </c>
      <c r="E7" s="57">
        <f t="shared" si="0"/>
        <v>0</v>
      </c>
      <c r="F7" s="24">
        <v>2</v>
      </c>
      <c r="G7" s="24">
        <v>2</v>
      </c>
      <c r="H7" s="24">
        <f>G7</f>
        <v>2</v>
      </c>
      <c r="I7" s="24">
        <v>10</v>
      </c>
      <c r="J7" s="24">
        <v>10</v>
      </c>
      <c r="K7" s="24">
        <f>J7</f>
        <v>10</v>
      </c>
      <c r="L7" s="283">
        <v>0</v>
      </c>
      <c r="M7" s="284">
        <v>0</v>
      </c>
      <c r="N7" s="284">
        <v>0</v>
      </c>
    </row>
    <row r="8" spans="1:14" ht="79.5" customHeight="1" x14ac:dyDescent="0.2">
      <c r="A8" s="30" t="s">
        <v>580</v>
      </c>
      <c r="B8" s="25" t="s">
        <v>11</v>
      </c>
      <c r="C8" s="57">
        <f t="shared" ref="C8:C9" si="1">L8/F8/I8</f>
        <v>0</v>
      </c>
      <c r="D8" s="57">
        <f t="shared" si="0"/>
        <v>0</v>
      </c>
      <c r="E8" s="57">
        <f t="shared" si="0"/>
        <v>0</v>
      </c>
      <c r="F8" s="24">
        <v>2</v>
      </c>
      <c r="G8" s="24">
        <v>2</v>
      </c>
      <c r="H8" s="24">
        <f t="shared" ref="H8:H9" si="2">G8</f>
        <v>2</v>
      </c>
      <c r="I8" s="24">
        <v>2</v>
      </c>
      <c r="J8" s="24">
        <v>2</v>
      </c>
      <c r="K8" s="24">
        <f t="shared" ref="K8:K9" si="3">J8</f>
        <v>2</v>
      </c>
      <c r="L8" s="274">
        <v>0</v>
      </c>
      <c r="M8" s="284">
        <v>0</v>
      </c>
      <c r="N8" s="284">
        <v>0</v>
      </c>
    </row>
    <row r="9" spans="1:14" ht="34.5" customHeight="1" x14ac:dyDescent="0.2">
      <c r="A9" s="30" t="s">
        <v>569</v>
      </c>
      <c r="B9" s="25" t="s">
        <v>12</v>
      </c>
      <c r="C9" s="57">
        <f t="shared" si="1"/>
        <v>0</v>
      </c>
      <c r="D9" s="57">
        <f t="shared" si="0"/>
        <v>0</v>
      </c>
      <c r="E9" s="57">
        <f t="shared" si="0"/>
        <v>0</v>
      </c>
      <c r="F9" s="24">
        <v>2</v>
      </c>
      <c r="G9" s="24">
        <v>2</v>
      </c>
      <c r="H9" s="24">
        <f t="shared" si="2"/>
        <v>2</v>
      </c>
      <c r="I9" s="24">
        <v>8</v>
      </c>
      <c r="J9" s="24">
        <v>8</v>
      </c>
      <c r="K9" s="24">
        <f t="shared" si="3"/>
        <v>8</v>
      </c>
      <c r="L9" s="274">
        <v>0</v>
      </c>
      <c r="M9" s="284">
        <v>0</v>
      </c>
      <c r="N9" s="284">
        <v>0</v>
      </c>
    </row>
    <row r="10" spans="1:14" ht="12.75" customHeight="1" x14ac:dyDescent="0.2">
      <c r="A10" s="276" t="s">
        <v>71</v>
      </c>
      <c r="B10" s="27"/>
      <c r="C10" s="26" t="s">
        <v>14</v>
      </c>
      <c r="D10" s="26" t="s">
        <v>14</v>
      </c>
      <c r="E10" s="26" t="s">
        <v>14</v>
      </c>
      <c r="F10" s="26" t="s">
        <v>14</v>
      </c>
      <c r="G10" s="26" t="s">
        <v>14</v>
      </c>
      <c r="H10" s="26" t="s">
        <v>14</v>
      </c>
      <c r="I10" s="26" t="s">
        <v>14</v>
      </c>
      <c r="J10" s="26" t="s">
        <v>14</v>
      </c>
      <c r="K10" s="26" t="s">
        <v>14</v>
      </c>
      <c r="L10" s="124">
        <f>SUM(L7:L9)</f>
        <v>0</v>
      </c>
      <c r="M10" s="124">
        <f>SUM(M7:M9)</f>
        <v>0</v>
      </c>
      <c r="N10" s="124">
        <f>SUM(N7:N9)</f>
        <v>0</v>
      </c>
    </row>
    <row r="11" spans="1:14" x14ac:dyDescent="0.2">
      <c r="A11" s="5"/>
      <c r="B11" s="5"/>
      <c r="C11" s="5"/>
      <c r="D11" s="5"/>
      <c r="E11" s="5"/>
      <c r="F11" s="5"/>
      <c r="G11" s="5"/>
      <c r="H11" s="5"/>
      <c r="I11" s="5"/>
      <c r="J11" s="5"/>
      <c r="K11" s="5"/>
      <c r="L11" s="5"/>
      <c r="M11" s="5"/>
      <c r="N11" s="5"/>
    </row>
  </sheetData>
  <customSheetViews>
    <customSheetView guid="{DC13F25B-CAA7-4E25-AFF1-0DCF9AD75BDE}" scale="130" showPageBreaks="1" printArea="1" view="pageBreakPreview" topLeftCell="B1">
      <selection activeCell="L8" sqref="L8:N8"/>
      <pageMargins left="0.59055118110236227" right="0.51181102362204722" top="1.1811023622047245" bottom="0.39370078740157483" header="0.19685039370078741" footer="0.19685039370078741"/>
      <printOptions horizontalCentered="1"/>
      <pageSetup paperSize="9" scale="98" firstPageNumber="25" orientation="landscape" useFirstPageNumber="1" r:id="rId1"/>
      <headerFooter alignWithMargins="0">
        <oddHeader>&amp;C&amp;"Times New Roman,обычный"&amp;12&amp;P</oddHeader>
      </headerFooter>
    </customSheetView>
    <customSheetView guid="{6AD2622C-AF85-4997-AA93-A54C85AD6D68}" scale="130" showPageBreaks="1" printArea="1" view="pageBreakPreview">
      <selection activeCell="L10" sqref="L10"/>
      <pageMargins left="0.59055118110236227" right="0.51181102362204722" top="1.1811023622047245" bottom="0.39370078740157483" header="0.19685039370078741" footer="0.19685039370078741"/>
      <printOptions horizontalCentered="1"/>
      <pageSetup paperSize="9" scale="99" firstPageNumber="25" orientation="landscape" useFirstPageNumber="1" r:id="rId2"/>
      <headerFooter alignWithMargins="0">
        <oddHeader>&amp;C&amp;"Times New Roman,обычный"&amp;12&amp;P</oddHeader>
      </headerFooter>
    </customSheetView>
    <customSheetView guid="{C88A4605-0F8D-4713-9317-AF13632C8FA6}" scale="130" showPageBreaks="1" printArea="1" view="pageBreakPreview">
      <selection activeCell="L10" sqref="L10"/>
      <pageMargins left="0.59055118110236227" right="0.51181102362204722" top="1.1811023622047245" bottom="0.39370078740157483" header="0.19685039370078741" footer="0.19685039370078741"/>
      <printOptions horizontalCentered="1"/>
      <pageSetup paperSize="9" scale="99" firstPageNumber="25" orientation="landscape" useFirstPageNumber="1" r:id="rId3"/>
      <headerFooter alignWithMargins="0">
        <oddHeader>&amp;C&amp;"Times New Roman,обычный"&amp;12&amp;P</oddHeader>
      </headerFooter>
    </customSheetView>
    <customSheetView guid="{84CC8968-6D7C-41C4-B973-ECD381BB63FC}" scale="130" showPageBreaks="1" printArea="1" state="hidden" view="pageBreakPreview" topLeftCell="D1">
      <selection activeCell="N10" sqref="N10"/>
      <pageMargins left="0.59055118110236227" right="0.51181102362204722" top="1.1811023622047245" bottom="0.39370078740157483" header="0.19685039370078741" footer="0.19685039370078741"/>
      <printOptions horizontalCentered="1"/>
      <pageSetup paperSize="9" scale="98" firstPageNumber="25" orientation="landscape" useFirstPageNumber="1" r:id="rId4"/>
      <headerFooter alignWithMargins="0">
        <oddHeader>&amp;C&amp;"Times New Roman,обычный"&amp;12&amp;P</oddHeader>
      </headerFooter>
    </customSheetView>
    <customSheetView guid="{C47F8591-E97A-4739-B299-8B7B5E22A2DD}" scale="130" showPageBreaks="1" printArea="1" view="pageBreakPreview" topLeftCell="B1">
      <selection activeCell="L8" sqref="L8:N8"/>
      <pageMargins left="0.59055118110236227" right="0.51181102362204722" top="1.1811023622047245" bottom="0.39370078740157483" header="0.19685039370078741" footer="0.19685039370078741"/>
      <printOptions horizontalCentered="1"/>
      <pageSetup paperSize="9" scale="98" firstPageNumber="25" orientation="landscape" useFirstPageNumber="1" r:id="rId5"/>
      <headerFooter alignWithMargins="0">
        <oddHeader>&amp;C&amp;"Times New Roman,обычный"&amp;12&amp;P</oddHeader>
      </headerFooter>
    </customSheetView>
  </customSheetViews>
  <mergeCells count="7">
    <mergeCell ref="A1:N1"/>
    <mergeCell ref="A3:A5"/>
    <mergeCell ref="B3:B5"/>
    <mergeCell ref="C3:E3"/>
    <mergeCell ref="F3:H3"/>
    <mergeCell ref="I3:K3"/>
    <mergeCell ref="L3:N3"/>
  </mergeCells>
  <printOptions horizontalCentered="1"/>
  <pageMargins left="0.59055118110236227" right="0.51181102362204722" top="1.1811023622047245" bottom="0.39370078740157483" header="0.19685039370078741" footer="0.19685039370078741"/>
  <pageSetup paperSize="9" scale="98" firstPageNumber="25" orientation="landscape" useFirstPageNumber="1" r:id="rId6"/>
  <headerFooter alignWithMargins="0">
    <oddHeader>&amp;C&amp;"Times New Roman,обычный"&amp;12&amp;P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view="pageBreakPreview" zoomScale="80" zoomScaleNormal="120" zoomScaleSheetLayoutView="80" workbookViewId="0">
      <pane xSplit="1" ySplit="6" topLeftCell="B7" activePane="bottomRight" state="frozen"/>
      <selection activeCell="E22" sqref="E22"/>
      <selection pane="topRight" activeCell="E22" sqref="E22"/>
      <selection pane="bottomLeft" activeCell="E22" sqref="E22"/>
      <selection pane="bottomRight" activeCell="E22" sqref="E22"/>
    </sheetView>
  </sheetViews>
  <sheetFormatPr defaultColWidth="0.85546875" defaultRowHeight="12.75" x14ac:dyDescent="0.2"/>
  <cols>
    <col min="1" max="1" width="39.85546875" style="6" customWidth="1"/>
    <col min="2" max="2" width="11.85546875" style="6" customWidth="1"/>
    <col min="3" max="14" width="9.28515625" style="6" bestFit="1" customWidth="1"/>
    <col min="15" max="40" width="3.7109375" style="6" customWidth="1"/>
    <col min="41" max="41" width="10.7109375" style="6" customWidth="1"/>
    <col min="42" max="16384" width="0.85546875" style="6"/>
  </cols>
  <sheetData>
    <row r="1" spans="1:21" s="9" customFormat="1" ht="32.25" customHeight="1" x14ac:dyDescent="0.25">
      <c r="A1" s="628" t="s">
        <v>118</v>
      </c>
      <c r="B1" s="628"/>
      <c r="C1" s="628"/>
      <c r="D1" s="628"/>
      <c r="E1" s="628"/>
      <c r="F1" s="628"/>
      <c r="G1" s="628"/>
      <c r="H1" s="628"/>
      <c r="I1" s="628"/>
      <c r="J1" s="628"/>
      <c r="K1" s="628"/>
      <c r="L1" s="628"/>
      <c r="M1" s="628"/>
      <c r="N1" s="628"/>
    </row>
    <row r="2" spans="1:21" ht="15.75" customHeight="1" x14ac:dyDescent="0.2">
      <c r="A2" s="5"/>
      <c r="B2" s="5"/>
      <c r="C2" s="5"/>
      <c r="D2" s="5"/>
      <c r="E2" s="5"/>
      <c r="F2" s="5"/>
      <c r="G2" s="5"/>
      <c r="H2" s="5"/>
      <c r="I2" s="5"/>
      <c r="J2" s="5"/>
      <c r="K2" s="5"/>
      <c r="L2" s="5"/>
      <c r="M2" s="5"/>
      <c r="N2" s="5"/>
    </row>
    <row r="3" spans="1:21" ht="28.15" customHeight="1" x14ac:dyDescent="0.2">
      <c r="A3" s="582" t="s">
        <v>1</v>
      </c>
      <c r="B3" s="582" t="s">
        <v>2</v>
      </c>
      <c r="C3" s="582" t="s">
        <v>119</v>
      </c>
      <c r="D3" s="582"/>
      <c r="E3" s="582"/>
      <c r="F3" s="582" t="s">
        <v>120</v>
      </c>
      <c r="G3" s="582"/>
      <c r="H3" s="582"/>
      <c r="I3" s="582" t="s">
        <v>121</v>
      </c>
      <c r="J3" s="582"/>
      <c r="K3" s="582"/>
      <c r="L3" s="582" t="s">
        <v>21</v>
      </c>
      <c r="M3" s="582"/>
      <c r="N3" s="582"/>
    </row>
    <row r="4" spans="1:21" ht="12.75" customHeight="1" x14ac:dyDescent="0.2">
      <c r="A4" s="582"/>
      <c r="B4" s="582"/>
      <c r="C4" s="272" t="s">
        <v>477</v>
      </c>
      <c r="D4" s="272" t="s">
        <v>552</v>
      </c>
      <c r="E4" s="272" t="s">
        <v>579</v>
      </c>
      <c r="F4" s="272" t="s">
        <v>477</v>
      </c>
      <c r="G4" s="272" t="s">
        <v>552</v>
      </c>
      <c r="H4" s="272" t="s">
        <v>579</v>
      </c>
      <c r="I4" s="272" t="s">
        <v>477</v>
      </c>
      <c r="J4" s="272" t="s">
        <v>552</v>
      </c>
      <c r="K4" s="272" t="s">
        <v>579</v>
      </c>
      <c r="L4" s="272" t="s">
        <v>477</v>
      </c>
      <c r="M4" s="272" t="s">
        <v>552</v>
      </c>
      <c r="N4" s="272" t="s">
        <v>579</v>
      </c>
    </row>
    <row r="5" spans="1:21" ht="55.9" customHeight="1" x14ac:dyDescent="0.2">
      <c r="A5" s="582"/>
      <c r="B5" s="582"/>
      <c r="C5" s="22" t="s">
        <v>122</v>
      </c>
      <c r="D5" s="22" t="s">
        <v>123</v>
      </c>
      <c r="E5" s="22" t="s">
        <v>124</v>
      </c>
      <c r="F5" s="22" t="s">
        <v>122</v>
      </c>
      <c r="G5" s="22" t="s">
        <v>123</v>
      </c>
      <c r="H5" s="22" t="s">
        <v>124</v>
      </c>
      <c r="I5" s="22" t="s">
        <v>122</v>
      </c>
      <c r="J5" s="22" t="s">
        <v>123</v>
      </c>
      <c r="K5" s="22" t="s">
        <v>124</v>
      </c>
      <c r="L5" s="22" t="s">
        <v>122</v>
      </c>
      <c r="M5" s="22" t="s">
        <v>123</v>
      </c>
      <c r="N5" s="22" t="s">
        <v>124</v>
      </c>
    </row>
    <row r="6" spans="1:21" s="13" customFormat="1" x14ac:dyDescent="0.2">
      <c r="A6" s="8">
        <v>1</v>
      </c>
      <c r="B6" s="8">
        <v>2</v>
      </c>
      <c r="C6" s="8">
        <v>3</v>
      </c>
      <c r="D6" s="8">
        <v>4</v>
      </c>
      <c r="E6" s="8">
        <v>5</v>
      </c>
      <c r="F6" s="8">
        <v>6</v>
      </c>
      <c r="G6" s="8">
        <v>7</v>
      </c>
      <c r="H6" s="8">
        <v>8</v>
      </c>
      <c r="I6" s="8">
        <v>9</v>
      </c>
      <c r="J6" s="8">
        <v>10</v>
      </c>
      <c r="K6" s="8">
        <v>11</v>
      </c>
      <c r="L6" s="8">
        <v>12</v>
      </c>
      <c r="M6" s="8">
        <v>13</v>
      </c>
      <c r="N6" s="8">
        <v>14</v>
      </c>
    </row>
    <row r="7" spans="1:21" ht="23.25" customHeight="1" x14ac:dyDescent="0.2">
      <c r="A7" s="30" t="s">
        <v>568</v>
      </c>
      <c r="B7" s="25" t="s">
        <v>10</v>
      </c>
      <c r="C7" s="57">
        <f>L7/F7/I7</f>
        <v>0</v>
      </c>
      <c r="D7" s="57">
        <f t="shared" ref="D7:E9" si="0">M7/G7/J7</f>
        <v>0</v>
      </c>
      <c r="E7" s="57">
        <f t="shared" si="0"/>
        <v>0</v>
      </c>
      <c r="F7" s="24">
        <v>1</v>
      </c>
      <c r="G7" s="24">
        <v>1</v>
      </c>
      <c r="H7" s="24">
        <f>G7</f>
        <v>1</v>
      </c>
      <c r="I7" s="24">
        <v>5</v>
      </c>
      <c r="J7" s="24">
        <v>5</v>
      </c>
      <c r="K7" s="24">
        <f>J7</f>
        <v>5</v>
      </c>
      <c r="L7" s="274">
        <v>0</v>
      </c>
      <c r="M7" s="284">
        <v>0</v>
      </c>
      <c r="N7" s="284">
        <v>0</v>
      </c>
    </row>
    <row r="8" spans="1:21" ht="82.5" customHeight="1" x14ac:dyDescent="0.2">
      <c r="A8" s="30" t="s">
        <v>580</v>
      </c>
      <c r="B8" s="25" t="s">
        <v>11</v>
      </c>
      <c r="C8" s="57">
        <f t="shared" ref="C8:C9" si="1">L8/F8/I8</f>
        <v>0</v>
      </c>
      <c r="D8" s="57">
        <f t="shared" si="0"/>
        <v>0</v>
      </c>
      <c r="E8" s="57">
        <f t="shared" si="0"/>
        <v>0</v>
      </c>
      <c r="F8" s="24">
        <v>1</v>
      </c>
      <c r="G8" s="24">
        <v>1</v>
      </c>
      <c r="H8" s="24">
        <f t="shared" ref="H8:H9" si="2">G8</f>
        <v>1</v>
      </c>
      <c r="I8" s="24">
        <v>2</v>
      </c>
      <c r="J8" s="24">
        <v>2</v>
      </c>
      <c r="K8" s="24">
        <f t="shared" ref="K8" si="3">J8</f>
        <v>2</v>
      </c>
      <c r="L8" s="274">
        <v>0</v>
      </c>
      <c r="M8" s="284">
        <v>0</v>
      </c>
      <c r="N8" s="284">
        <v>0</v>
      </c>
    </row>
    <row r="9" spans="1:21" ht="27.75" customHeight="1" x14ac:dyDescent="0.2">
      <c r="A9" s="30" t="s">
        <v>569</v>
      </c>
      <c r="B9" s="25" t="s">
        <v>12</v>
      </c>
      <c r="C9" s="57">
        <f t="shared" si="1"/>
        <v>0</v>
      </c>
      <c r="D9" s="57">
        <f t="shared" si="0"/>
        <v>0</v>
      </c>
      <c r="E9" s="57">
        <f t="shared" si="0"/>
        <v>0</v>
      </c>
      <c r="F9" s="24">
        <v>1</v>
      </c>
      <c r="G9" s="24">
        <v>1</v>
      </c>
      <c r="H9" s="24">
        <f t="shared" si="2"/>
        <v>1</v>
      </c>
      <c r="I9" s="24">
        <v>7</v>
      </c>
      <c r="J9" s="24">
        <v>7</v>
      </c>
      <c r="K9" s="24">
        <v>7</v>
      </c>
      <c r="L9" s="274">
        <v>0</v>
      </c>
      <c r="M9" s="284">
        <v>0</v>
      </c>
      <c r="N9" s="284">
        <v>0</v>
      </c>
    </row>
    <row r="10" spans="1:21" ht="12.75" customHeight="1" x14ac:dyDescent="0.2">
      <c r="A10" s="26" t="s">
        <v>71</v>
      </c>
      <c r="B10" s="27"/>
      <c r="C10" s="26" t="s">
        <v>14</v>
      </c>
      <c r="D10" s="26" t="s">
        <v>14</v>
      </c>
      <c r="E10" s="26" t="s">
        <v>14</v>
      </c>
      <c r="F10" s="26" t="s">
        <v>14</v>
      </c>
      <c r="G10" s="26" t="s">
        <v>14</v>
      </c>
      <c r="H10" s="26" t="s">
        <v>14</v>
      </c>
      <c r="I10" s="26" t="s">
        <v>14</v>
      </c>
      <c r="J10" s="26" t="s">
        <v>14</v>
      </c>
      <c r="K10" s="26" t="s">
        <v>14</v>
      </c>
      <c r="L10" s="57">
        <f>SUM(L7:L9)</f>
        <v>0</v>
      </c>
      <c r="M10" s="57">
        <f>SUM(M7:M9)</f>
        <v>0</v>
      </c>
      <c r="N10" s="57">
        <f>SUM(N7:N9)</f>
        <v>0</v>
      </c>
    </row>
    <row r="11" spans="1:21" x14ac:dyDescent="0.2">
      <c r="A11" s="5"/>
      <c r="B11" s="5"/>
      <c r="C11" s="5"/>
      <c r="D11" s="5"/>
      <c r="E11" s="5"/>
      <c r="F11" s="5"/>
      <c r="G11" s="5"/>
      <c r="H11" s="5"/>
      <c r="I11" s="5"/>
      <c r="J11" s="5"/>
      <c r="K11" s="5"/>
      <c r="L11" s="5"/>
      <c r="M11" s="5"/>
      <c r="N11" s="5"/>
    </row>
    <row r="14" spans="1:21" x14ac:dyDescent="0.2">
      <c r="L14" s="227"/>
      <c r="M14" s="227"/>
      <c r="N14" s="227"/>
      <c r="O14" s="227"/>
      <c r="P14" s="227"/>
      <c r="Q14" s="227"/>
      <c r="R14" s="227"/>
      <c r="S14" s="227"/>
      <c r="T14" s="227"/>
      <c r="U14" s="227"/>
    </row>
  </sheetData>
  <customSheetViews>
    <customSheetView guid="{DC13F25B-CAA7-4E25-AFF1-0DCF9AD75BDE}" scale="110" showPageBreaks="1" printArea="1" view="pageBreakPreview">
      <selection activeCell="M8" sqref="M8:N8"/>
      <pageMargins left="0.59055118110236227" right="0.51181102362204722" top="1.1811023622047245" bottom="0.39370078740157483" header="0.19685039370078741" footer="0.19685039370078741"/>
      <printOptions horizontalCentered="1"/>
      <pageSetup paperSize="9" scale="99" firstPageNumber="25" orientation="landscape" useFirstPageNumber="1" r:id="rId1"/>
      <headerFooter alignWithMargins="0">
        <oddHeader>&amp;C&amp;"Times New Roman,обычный"&amp;12&amp;P</oddHeader>
      </headerFooter>
    </customSheetView>
    <customSheetView guid="{6AD2622C-AF85-4997-AA93-A54C85AD6D68}" scale="110" showPageBreaks="1" printArea="1" view="pageBreakPreview">
      <selection activeCell="B8" sqref="B8"/>
      <pageMargins left="0.59055118110236227" right="0.51181102362204722" top="1.1811023622047245" bottom="0.39370078740157483" header="0.19685039370078741" footer="0.19685039370078741"/>
      <printOptions horizontalCentered="1"/>
      <pageSetup paperSize="9" scale="99" firstPageNumber="25" orientation="landscape" useFirstPageNumber="1" r:id="rId2"/>
      <headerFooter alignWithMargins="0">
        <oddHeader>&amp;C&amp;"Times New Roman,обычный"&amp;12&amp;P</oddHeader>
      </headerFooter>
    </customSheetView>
    <customSheetView guid="{C88A4605-0F8D-4713-9317-AF13632C8FA6}" scale="110" showPageBreaks="1" printArea="1" view="pageBreakPreview">
      <selection activeCell="B8" sqref="B8"/>
      <pageMargins left="0.59055118110236227" right="0.51181102362204722" top="1.1811023622047245" bottom="0.39370078740157483" header="0.19685039370078741" footer="0.19685039370078741"/>
      <printOptions horizontalCentered="1"/>
      <pageSetup paperSize="9" scale="99" firstPageNumber="25" orientation="landscape" useFirstPageNumber="1" r:id="rId3"/>
      <headerFooter alignWithMargins="0">
        <oddHeader>&amp;C&amp;"Times New Roman,обычный"&amp;12&amp;P</oddHeader>
      </headerFooter>
    </customSheetView>
    <customSheetView guid="{84CC8968-6D7C-41C4-B973-ECD381BB63FC}" scale="110" showPageBreaks="1" printArea="1" state="hidden" view="pageBreakPreview" topLeftCell="C1">
      <selection activeCell="N10" sqref="N10"/>
      <pageMargins left="0.59055118110236227" right="0.51181102362204722" top="1.1811023622047245" bottom="0.39370078740157483" header="0.19685039370078741" footer="0.19685039370078741"/>
      <printOptions horizontalCentered="1"/>
      <pageSetup paperSize="9" scale="99" firstPageNumber="25" orientation="landscape" useFirstPageNumber="1" r:id="rId4"/>
      <headerFooter alignWithMargins="0">
        <oddHeader>&amp;C&amp;"Times New Roman,обычный"&amp;12&amp;P</oddHeader>
      </headerFooter>
    </customSheetView>
    <customSheetView guid="{C47F8591-E97A-4739-B299-8B7B5E22A2DD}" scale="110" showPageBreaks="1" printArea="1" view="pageBreakPreview">
      <selection activeCell="M8" sqref="M8:N8"/>
      <pageMargins left="0.59055118110236227" right="0.51181102362204722" top="1.1811023622047245" bottom="0.39370078740157483" header="0.19685039370078741" footer="0.19685039370078741"/>
      <printOptions horizontalCentered="1"/>
      <pageSetup paperSize="9" scale="99" firstPageNumber="25" orientation="landscape" useFirstPageNumber="1" r:id="rId5"/>
      <headerFooter alignWithMargins="0">
        <oddHeader>&amp;C&amp;"Times New Roman,обычный"&amp;12&amp;P</oddHeader>
      </headerFooter>
    </customSheetView>
  </customSheetViews>
  <mergeCells count="7">
    <mergeCell ref="A1:N1"/>
    <mergeCell ref="A3:A5"/>
    <mergeCell ref="B3:B5"/>
    <mergeCell ref="C3:E3"/>
    <mergeCell ref="F3:H3"/>
    <mergeCell ref="I3:K3"/>
    <mergeCell ref="L3:N3"/>
  </mergeCells>
  <printOptions horizontalCentered="1"/>
  <pageMargins left="0.59055118110236227" right="0.51181102362204722" top="1.1811023622047245" bottom="0.39370078740157483" header="0.19685039370078741" footer="0.19685039370078741"/>
  <pageSetup paperSize="9" scale="99" firstPageNumber="25" orientation="landscape" useFirstPageNumber="1" r:id="rId6"/>
  <headerFooter alignWithMargins="0">
    <oddHeader>&amp;C&amp;"Times New Roman,обычный"&amp;12&amp;P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20</vt:i4>
      </vt:variant>
      <vt:variant>
        <vt:lpstr>Именованные диапазоны</vt:lpstr>
      </vt:variant>
      <vt:variant>
        <vt:i4>20</vt:i4>
      </vt:variant>
    </vt:vector>
  </HeadingPairs>
  <TitlesOfParts>
    <vt:vector size="40" baseType="lpstr">
      <vt:lpstr>раздел 1_2</vt:lpstr>
      <vt:lpstr>раздел 2</vt:lpstr>
      <vt:lpstr>раздел 3 доходы</vt:lpstr>
      <vt:lpstr>(211-213)_бюд</vt:lpstr>
      <vt:lpstr>(211-213)_пед</vt:lpstr>
      <vt:lpstr>(211-213)_ауп</vt:lpstr>
      <vt:lpstr>сводная</vt:lpstr>
      <vt:lpstr>командировки_пед</vt:lpstr>
      <vt:lpstr>командировки_ауп</vt:lpstr>
      <vt:lpstr>262</vt:lpstr>
      <vt:lpstr>221</vt:lpstr>
      <vt:lpstr>222</vt:lpstr>
      <vt:lpstr>223</vt:lpstr>
      <vt:lpstr>224</vt:lpstr>
      <vt:lpstr>225 подробно</vt:lpstr>
      <vt:lpstr>226 подробно</vt:lpstr>
      <vt:lpstr>226 повышение квалификации</vt:lpstr>
      <vt:lpstr>227</vt:lpstr>
      <vt:lpstr>пособие по уходу за ребенком</vt:lpstr>
      <vt:lpstr>290</vt:lpstr>
      <vt:lpstr>'раздел 1_2'!Заголовки_для_печати</vt:lpstr>
      <vt:lpstr>'раздел 2'!Заголовки_для_печати</vt:lpstr>
      <vt:lpstr>'раздел 3 доходы'!Заголовки_для_печати</vt:lpstr>
      <vt:lpstr>'(211-213)_ауп'!Область_печати</vt:lpstr>
      <vt:lpstr>'(211-213)_бюд'!Область_печати</vt:lpstr>
      <vt:lpstr>'(211-213)_пед'!Область_печати</vt:lpstr>
      <vt:lpstr>'221'!Область_печати</vt:lpstr>
      <vt:lpstr>'222'!Область_печати</vt:lpstr>
      <vt:lpstr>'223'!Область_печати</vt:lpstr>
      <vt:lpstr>'225 подробно'!Область_печати</vt:lpstr>
      <vt:lpstr>'226 подробно'!Область_печати</vt:lpstr>
      <vt:lpstr>'227'!Область_печати</vt:lpstr>
      <vt:lpstr>'262'!Область_печати</vt:lpstr>
      <vt:lpstr>'290'!Область_печати</vt:lpstr>
      <vt:lpstr>командировки_ауп!Область_печати</vt:lpstr>
      <vt:lpstr>командировки_пед!Область_печати</vt:lpstr>
      <vt:lpstr>'раздел 1_2'!Область_печати</vt:lpstr>
      <vt:lpstr>'раздел 2'!Область_печати</vt:lpstr>
      <vt:lpstr>'раздел 3 доходы'!Область_печати</vt:lpstr>
      <vt:lpstr>сводная!Область_печати</vt:lpstr>
    </vt:vector>
  </TitlesOfParts>
  <Company>RUO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202u10</dc:creator>
  <cp:lastModifiedBy>ashirapova</cp:lastModifiedBy>
  <cp:lastPrinted>2022-12-14T08:53:36Z</cp:lastPrinted>
  <dcterms:created xsi:type="dcterms:W3CDTF">2019-11-25T05:45:23Z</dcterms:created>
  <dcterms:modified xsi:type="dcterms:W3CDTF">2023-09-14T03:52:45Z</dcterms:modified>
</cp:coreProperties>
</file>